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5"/>
  <workbookPr defaultThemeVersion="124226"/>
  <bookViews>
    <workbookView xWindow="-105" yWindow="-105" windowWidth="12930" windowHeight="10560"/>
  </bookViews>
  <sheets>
    <sheet name="planina de preços" sheetId="1" r:id="rId1"/>
    <sheet name="BDI" sheetId="4" r:id="rId2"/>
    <sheet name="cronograma" sheetId="5" r:id="rId3"/>
    <sheet name="Plan2" sheetId="2" state="hidden" r:id="rId4"/>
    <sheet name="Plan3" sheetId="3" state="hidden" r:id="rId5"/>
  </sheets>
  <externalReferences>
    <externalReference r:id="rId6"/>
  </externalReference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89" i="1"/>
  <c r="D81"/>
  <c r="D80"/>
  <c r="D78"/>
  <c r="D12" l="1"/>
  <c r="F70"/>
  <c r="I21" i="4" l="1"/>
  <c r="H21"/>
  <c r="G21"/>
  <c r="D21"/>
  <c r="D87" i="1"/>
  <c r="F87" s="1"/>
  <c r="F81"/>
  <c r="F80"/>
  <c r="F77"/>
  <c r="F79"/>
  <c r="F83"/>
  <c r="F84"/>
  <c r="F85"/>
  <c r="F86"/>
  <c r="D82" l="1"/>
  <c r="F82" s="1"/>
  <c r="F78"/>
  <c r="F76"/>
  <c r="C15" i="5" s="1"/>
  <c r="F75" i="1"/>
  <c r="F71"/>
  <c r="F72"/>
  <c r="F73"/>
  <c r="F74"/>
  <c r="F69"/>
  <c r="F88" l="1"/>
  <c r="C14" i="5" s="1"/>
  <c r="H15"/>
  <c r="G15"/>
  <c r="F46" i="1"/>
  <c r="F47"/>
  <c r="F48"/>
  <c r="F49"/>
  <c r="F50"/>
  <c r="F51"/>
  <c r="F63"/>
  <c r="F64"/>
  <c r="F65"/>
  <c r="F66"/>
  <c r="D62"/>
  <c r="F62" s="1"/>
  <c r="D59"/>
  <c r="F59" s="1"/>
  <c r="D58"/>
  <c r="F58" s="1"/>
  <c r="D55"/>
  <c r="F55" s="1"/>
  <c r="D54"/>
  <c r="D60" s="1"/>
  <c r="F60" s="1"/>
  <c r="D53"/>
  <c r="D61" s="1"/>
  <c r="F61" s="1"/>
  <c r="D52"/>
  <c r="F52" s="1"/>
  <c r="F26"/>
  <c r="F27"/>
  <c r="F28"/>
  <c r="F29"/>
  <c r="F30"/>
  <c r="F31"/>
  <c r="F32"/>
  <c r="F33"/>
  <c r="F34"/>
  <c r="F35"/>
  <c r="F37"/>
  <c r="F38"/>
  <c r="F39"/>
  <c r="F40"/>
  <c r="D45"/>
  <c r="F45" s="1"/>
  <c r="D44"/>
  <c r="F44" s="1"/>
  <c r="D43"/>
  <c r="F43" s="1"/>
  <c r="D42"/>
  <c r="F42" s="1"/>
  <c r="D41"/>
  <c r="F41" s="1"/>
  <c r="F36"/>
  <c r="F15"/>
  <c r="F18"/>
  <c r="F19"/>
  <c r="F21"/>
  <c r="F22"/>
  <c r="F23"/>
  <c r="F24"/>
  <c r="F25"/>
  <c r="D20"/>
  <c r="F20" s="1"/>
  <c r="D14"/>
  <c r="F14" s="1"/>
  <c r="D13"/>
  <c r="F13" s="1"/>
  <c r="F12"/>
  <c r="D11"/>
  <c r="F11" s="1"/>
  <c r="D10"/>
  <c r="F10" s="1"/>
  <c r="O14" i="5" l="1"/>
  <c r="G14"/>
  <c r="N14"/>
  <c r="M14"/>
  <c r="L14"/>
  <c r="K14"/>
  <c r="H14"/>
  <c r="J14"/>
  <c r="I14"/>
  <c r="P14"/>
  <c r="F54" i="1"/>
  <c r="F53"/>
  <c r="D56"/>
  <c r="D16"/>
  <c r="D57" l="1"/>
  <c r="F57" s="1"/>
  <c r="F56"/>
  <c r="D17"/>
  <c r="F17" s="1"/>
  <c r="F16"/>
  <c r="F67" l="1"/>
  <c r="F6"/>
  <c r="C12" i="5" s="1"/>
  <c r="F5" i="1"/>
  <c r="C11" i="5" s="1"/>
  <c r="F4" i="1"/>
  <c r="C10" i="5" l="1"/>
  <c r="O10" s="1"/>
  <c r="H11"/>
  <c r="F11"/>
  <c r="G11"/>
  <c r="E11"/>
  <c r="C13"/>
  <c r="E12"/>
  <c r="D12"/>
  <c r="F7" i="1"/>
  <c r="F91" l="1"/>
  <c r="D15" i="5" s="1"/>
  <c r="E10"/>
  <c r="E16" s="1"/>
  <c r="E17" s="1"/>
  <c r="G10"/>
  <c r="H10"/>
  <c r="K10"/>
  <c r="I10"/>
  <c r="M10"/>
  <c r="F10"/>
  <c r="L10"/>
  <c r="P10"/>
  <c r="N10"/>
  <c r="J10"/>
  <c r="N13"/>
  <c r="M13"/>
  <c r="J12"/>
  <c r="F12"/>
  <c r="I12"/>
  <c r="D10" l="1"/>
  <c r="D13"/>
  <c r="D14"/>
  <c r="D11"/>
  <c r="M12"/>
  <c r="M16" s="1"/>
  <c r="N12"/>
  <c r="N16" s="1"/>
  <c r="I16"/>
  <c r="G12"/>
  <c r="F16"/>
  <c r="F17" s="1"/>
  <c r="O12"/>
  <c r="O16" s="1"/>
  <c r="J16"/>
  <c r="L12" l="1"/>
  <c r="K12"/>
  <c r="K16" s="1"/>
  <c r="H12"/>
  <c r="H16" s="1"/>
  <c r="G16"/>
  <c r="G17" s="1"/>
  <c r="H17" l="1"/>
  <c r="I17" s="1"/>
  <c r="J17" s="1"/>
  <c r="K17" s="1"/>
  <c r="P12"/>
  <c r="P16" s="1"/>
  <c r="L16"/>
  <c r="L17" l="1"/>
  <c r="M17" s="1"/>
  <c r="N17" s="1"/>
  <c r="O17" s="1"/>
  <c r="P17" s="1"/>
</calcChain>
</file>

<file path=xl/sharedStrings.xml><?xml version="1.0" encoding="utf-8"?>
<sst xmlns="http://schemas.openxmlformats.org/spreadsheetml/2006/main" count="322" uniqueCount="251">
  <si>
    <t>Item</t>
  </si>
  <si>
    <t>Decrição dos Serviços</t>
  </si>
  <si>
    <t>Unidade</t>
  </si>
  <si>
    <t>QTD Estimada</t>
  </si>
  <si>
    <t>Operação Plena do Sistema de Iluminação Pública</t>
  </si>
  <si>
    <t>1.1</t>
  </si>
  <si>
    <t>2.1</t>
  </si>
  <si>
    <t>un.</t>
  </si>
  <si>
    <t>m</t>
  </si>
  <si>
    <t>pç</t>
  </si>
  <si>
    <t>cj</t>
  </si>
  <si>
    <t>VALOR TOTAL                (R$)</t>
  </si>
  <si>
    <t>ponto de iluminação existente por mês (item multiplicado por 12)</t>
  </si>
  <si>
    <t>1.2</t>
  </si>
  <si>
    <t>Serviço de teleatendimento a população com fornecimento de telefone 0800 e fornecimento e operção de software de gerecenciamento e gestão do parque de iluminção pública do município</t>
  </si>
  <si>
    <t>mês</t>
  </si>
  <si>
    <t>Projetor/luminária LED RGBW DMX-512, abe+B91:B105rtura facho 5º a 8º, conforme espec. técnicas (iluminação para destaque de pilares), garantia de 3 (três) anos</t>
  </si>
  <si>
    <t>Projetor/luminária LED RGBW DMX-512, abertura facho 25º, conforme espec. técnicas (iluminação para destaque de volumes), garantia de 3 (três) anos</t>
  </si>
  <si>
    <t>Projetor/lum linear LED RGBW DMX-512, abertura facho 25º/10º ou projetor 40º, conforme espec. técnicas (iluminação sob janelas das fachadas lateriais), garantia de 3 (três) anos</t>
  </si>
  <si>
    <t>base de concreto moldada no local para luminários de piso, incluso chumbadores para fixação das luminárias</t>
  </si>
  <si>
    <t>Grade de aço para proteção para luminárias, com pintura eletrostática ou tratamento para itempéires, para instalação junto a luminárias/projetores de solo para prevenção de roubos e vandalismo. Deverá ser fabricado de modo a interferir minimamente na emissão de luz</t>
  </si>
  <si>
    <t xml:space="preserve">Cabo DMX </t>
  </si>
  <si>
    <t>Conector DMX Outdoor, conjunto macho e fêmea</t>
  </si>
  <si>
    <t>Splitter de sinal DMX 1x4</t>
  </si>
  <si>
    <t>Kit Interface Controlador</t>
  </si>
  <si>
    <t>Programação e Start Up do Sistema (em horas de engenharia)</t>
  </si>
  <si>
    <t>Comissionamento (em horas de engenharia)</t>
  </si>
  <si>
    <t>unid</t>
  </si>
  <si>
    <t>vb</t>
  </si>
  <si>
    <t>Hxh</t>
  </si>
  <si>
    <t>Disjuntor termomagnético padrão IEC em caixa moldada, Icc&gt;20kA, tripolar 125A</t>
  </si>
  <si>
    <t>Disjuntor termomagnético padrão IEC em caixa moldada, Icc&gt;20kA, tripolar 63A</t>
  </si>
  <si>
    <t>Mini-disjuntor padrão DIN, 3P-32A, ref.: Schneider, WEG, Moeller, Siemens</t>
  </si>
  <si>
    <t>Mini-disjuntor padrão DIN, 2P-20A, ref.: Schneider, WEG, Moeller, Siemens</t>
  </si>
  <si>
    <t>Mini-disjuntor padrão DIN, 1P-20A, ref.: Schneider, WEG, Moeller, Siemens</t>
  </si>
  <si>
    <t>Dispositivo Protetor contra surtos, DPS, 175V, 45kA, classe II, 8/20us, ref.: Clamper ou equivalente</t>
  </si>
  <si>
    <t>Tomada Industrial fêmea, IP67, 4 pólos (3F+T), 63A, cor azul (220V), ref.: Steck</t>
  </si>
  <si>
    <t>cjto</t>
  </si>
  <si>
    <t>Tomada Industrial fêmea, IP44, 4 pólos (3F+T), 32A, cor azul (220V), ref.: Steck</t>
  </si>
  <si>
    <t>Plugue industrial macho, IP 67, 4 pólos, (3F+T), 63A, cor azul (220V), ref.: Steck</t>
  </si>
  <si>
    <t>Plugue industrial macho, IP 44, 4 pólos, (3F+T), 32A, cor azul (220V), ref.: Steck</t>
  </si>
  <si>
    <t>Eletroduto Ferro Galvanizado, parede 1,2mm, NBR 13057, barra de 3m, Ø2" incluindo acessórios para suporte, junção e fixação</t>
  </si>
  <si>
    <t>ba</t>
  </si>
  <si>
    <t>Conector reto em alumínio para eletroduto rígido, Ø2", ref.: Daisa Unidut ou equivalente</t>
  </si>
  <si>
    <t>Eletroduto PVC corrugado reforçado, Ø1", ref.: Tigreflex laranja, com suporte de cargas até 750N/5cm</t>
  </si>
  <si>
    <t>Caixa de alumínio 20x20x10cm, com tampa</t>
  </si>
  <si>
    <t>Caixa de alumínio 40x40x20cm, com tampa</t>
  </si>
  <si>
    <t>Cabo múltiplo tipo PP, isol. HEPR 1kV, 3x4,0mm²</t>
  </si>
  <si>
    <t>Cabo de cobre flexível, classe 4 ou 5, isol. XLPE 0,6/1kV HEPR 90°</t>
  </si>
  <si>
    <t>Cabo de cobre flexível, classe 4 ou 5, isol. 0,6/1kV HEPR 90°, cobertura em termoplástico não halogenado (baixa emissão de fumaça e gases tóxicos), conforme NBR 13248 , #16mm²</t>
  </si>
  <si>
    <t>Cabo de cobre flexível, classe 4 ou 5, isol. 0,6/1kV HEPR 90°, cobertura em termoplástico não halogenado (baixa emissão de fumaça e gases tóxicos), conforme NBR 13248 , #25mm²</t>
  </si>
  <si>
    <t>Cabo de cobre flexível, classe 4 ou 5, isol. 0,6/1kV HEPR 90°, cobertura em termoplástico não halogenado (baixa emissão de fumaça e gases tóxicos), conforme NBR 13248 , #50mm²</t>
  </si>
  <si>
    <t>Eletroduto PVC 32mm (1"), barra de 3m, incluso acessórios e conexões</t>
  </si>
  <si>
    <t>Bucha e arruela em aluminio 32mm  (1")</t>
  </si>
  <si>
    <t>Fecho para fita aço inoxidável FF-1</t>
  </si>
  <si>
    <t>Fita em aço inoxidável 6mm 200kgf F6-30, rolo de 30m</t>
  </si>
  <si>
    <t>Fita plástica isolante, rolo de 20m</t>
  </si>
  <si>
    <t>Fita auto fusão 10m</t>
  </si>
  <si>
    <t>Demolição de piso de alta resistência</t>
  </si>
  <si>
    <t>Demoliçao Manual de Pavimentação em concreto asfáltico, espessura 5cm</t>
  </si>
  <si>
    <t>Demolição de Pavimentação asfáltica com utilização de martelo perfurador, espessura até 15cm, exclusive carga e transporte</t>
  </si>
  <si>
    <t>Retirada de grama em placas</t>
  </si>
  <si>
    <t>Escavaçao manual de valas</t>
  </si>
  <si>
    <t>Reaterro manual apoloado com soquete</t>
  </si>
  <si>
    <t>Plantio de Grama São Carlos</t>
  </si>
  <si>
    <t>Piso em Pedra Portuguesa (Petit Pave) assentado sobre base de areia, rejuntado com cimento comum</t>
  </si>
  <si>
    <t>Execução de piso de concreto com concreto moldado in loco, feito em obra, acabamento convencional, não armado</t>
  </si>
  <si>
    <t>Areia asfalto a frio, (AAUF), com emulsão RR-2C, incluso usinagem e aplicação</t>
  </si>
  <si>
    <t>Eletroduto corrugado, espiralado, em PEAD, Ø2", ref. Kanalex, incluindo escavação com profundidade de 60cm, instalação em berço de areia compactada,fita de advertência, e recomposição da área atingida (calçada, grama ou terra)</t>
  </si>
  <si>
    <t>Caixa de passagem em alvenaria, com reboco interno e fundo drenante com 20cm de brita, 40x40cm, profundidade de 60cm, com tampa de concreto</t>
  </si>
  <si>
    <t>Cabo de cobre nu # 50mm², 7 fios x Ø3,00mm (NBR6524), enterrada a 50cm</t>
  </si>
  <si>
    <t>Haste de Aterramento de aço cobreado de alta camada (254 microns), conforme NBR 13571, Ø5/8" x 3000mm, ref.: TEL-5820</t>
  </si>
  <si>
    <t>Sodla exotérmica cabo x haste</t>
  </si>
  <si>
    <t>rl</t>
  </si>
  <si>
    <t>m2</t>
  </si>
  <si>
    <t>m3</t>
  </si>
  <si>
    <t>Fornecimento e instalação  de Luminária Publica de LED com potência até “70w” (conforme termo de referência)</t>
  </si>
  <si>
    <t>Fornecimento e instalação  de Luminária Pública de LED com potência até “120W”(conforme termo de referência)</t>
  </si>
  <si>
    <t>Fornecimento e instalação  de Luminária Pública de LED com potência até “180W” (conforme termo de referência)</t>
  </si>
  <si>
    <t>Controlador de luminária, dispositivo eletrônico que deverá ser instalado nos pontos de luz para ser integrado ao concentrador, seguindo os padrões IETF, 6LoWPAN, protocolo de comunicações padrão 802.15.4, frequência de operação 900 MHz, criptografia 128 bit AES, controle de luminária Relé ON/OFF 5 A , porta de controle da luminária (dimerização) 1 / 0-10V , alarmes de falha da lâmpada, consumo do equipamento ≤ 1 W, temperatura de funcionamento: 30 ºC a +70 ºC.</t>
  </si>
  <si>
    <t xml:space="preserve">Controlador de grupo: dispositivo que permite monitorar e gerenciar no mínimo 300 controladores de luminárias. Deverá seguir os padrões, IETF, 6LoWPAN, protocolo de comunicações padrão 802.15.4, frequências de transmissão 900 MHz, alimentação do equipamento 175-255V CA, 60Hz, consumo do equipamento 3 W, temperatura de funcionamento 30°C a +70°C.  </t>
  </si>
  <si>
    <t>Arruela Quadrada 38x3mm, para parafuso D16mm.</t>
  </si>
  <si>
    <t>Braço para iluminação publica, Fabricado em aço carbono SAE 1010/20, confeccionado em tudo circular com 48,2 mm de diâmetro e espessura de 3,00mm, galvanizado a fogo com comprimento de 3 metros.</t>
  </si>
  <si>
    <t>Braço pra iluminação pública Fabricado em aço carbono SAE 1010/20, confeccionado em tudo circular com 60 mm de diâmetro e espessura de 3,75 mm, galvanizado a fogo com comprimento de 4 metros.</t>
  </si>
  <si>
    <t>Braço para iluminação pública fabricado em aço carbono SAE 1010/20, confeccionado em tudo circular com 48,2 mm de diâmetro e espessura de 3,00mm, galvanizado a fogo com comprimento de 2metros.</t>
  </si>
  <si>
    <t xml:space="preserve">Relé fotoelétrico com sistema eletromagnético de corrente alternada, 220v, potência de 1000w (carga resistiva) e 1800 va (carga indutiva), tipo nf </t>
  </si>
  <si>
    <t>Condutor de cobre , formado por fios de cobre nú com têmpera mole. Isolados em dupla camada com termoplástico flexível, com classe de isolamento de 750V na bitola de 3x2,5mm2.</t>
  </si>
  <si>
    <t>Conector cunha para cabo de rede 2AWG CA e cabo derivação 35mm² para cabos de cobre.</t>
  </si>
  <si>
    <t>Conector perfurante para aplicação em condutores isolados de alumínio e/ou cobre com isolações em XLPE / PE (0,6 / 1 kV) e/ou PVC (750V) de 70x35mm2</t>
  </si>
  <si>
    <t>Parafuso de cabeça quadrada galvanizado a fogo , 16 x 300mm c/ porca.</t>
  </si>
  <si>
    <t>Parafuso cabeça quadrada galvanizado a fogo, 16 x 350mm c/ porca.</t>
  </si>
  <si>
    <t>2.2</t>
  </si>
  <si>
    <t>SUB TOTAL ITEM 2.2</t>
  </si>
  <si>
    <t>SUB TOTAL ITEM 2.1</t>
  </si>
  <si>
    <t xml:space="preserve"> VALOR TOTAL - MELHORIAS, MODERNIZAÇÃO EFICIENTIZAÇÃO E IMPLANTAÇÃO</t>
  </si>
  <si>
    <t>MELHORIAS, MODERNIZAÇÃO EFICIENTIZAÇÃO E IMPLANTAÇÃO</t>
  </si>
  <si>
    <t>2.1.1</t>
  </si>
  <si>
    <t>2.1.2</t>
  </si>
  <si>
    <t>2.1.3</t>
  </si>
  <si>
    <t>2.1.4</t>
  </si>
  <si>
    <t>2.1.5</t>
  </si>
  <si>
    <t>2.1.6</t>
  </si>
  <si>
    <t>2.1.7</t>
  </si>
  <si>
    <t>2.1.8</t>
  </si>
  <si>
    <t>2.1.9</t>
  </si>
  <si>
    <t>2.1.10</t>
  </si>
  <si>
    <t>2.1.11</t>
  </si>
  <si>
    <t>2.1.12</t>
  </si>
  <si>
    <t>2.1.13</t>
  </si>
  <si>
    <t>2.1.14</t>
  </si>
  <si>
    <t>2.1.15</t>
  </si>
  <si>
    <t>2.1.16</t>
  </si>
  <si>
    <t>2.1.17</t>
  </si>
  <si>
    <t>2.1.18</t>
  </si>
  <si>
    <t>2.1.19</t>
  </si>
  <si>
    <t>2.1.20</t>
  </si>
  <si>
    <t>2.1.21</t>
  </si>
  <si>
    <t>2.1.22</t>
  </si>
  <si>
    <t>2.1.23</t>
  </si>
  <si>
    <t>2.1.24</t>
  </si>
  <si>
    <t>2.1.25</t>
  </si>
  <si>
    <t>2.1.26</t>
  </si>
  <si>
    <t>2.1.27</t>
  </si>
  <si>
    <t>2.1.28</t>
  </si>
  <si>
    <t>2.1.29</t>
  </si>
  <si>
    <t>2.1.30</t>
  </si>
  <si>
    <t>2.1.31</t>
  </si>
  <si>
    <t>2.1.32</t>
  </si>
  <si>
    <t>2.1.33</t>
  </si>
  <si>
    <t>2.1.34</t>
  </si>
  <si>
    <t>2.1.35</t>
  </si>
  <si>
    <t>2.1.36</t>
  </si>
  <si>
    <t>2.1.37</t>
  </si>
  <si>
    <t>2.1.38</t>
  </si>
  <si>
    <t>2.1.39</t>
  </si>
  <si>
    <t>2.1.40</t>
  </si>
  <si>
    <t>2.1.41</t>
  </si>
  <si>
    <t>2.1.42</t>
  </si>
  <si>
    <t>2.1.43</t>
  </si>
  <si>
    <t>2.1.44</t>
  </si>
  <si>
    <t>2.1.45</t>
  </si>
  <si>
    <t>2.1.46</t>
  </si>
  <si>
    <t>2.1.47</t>
  </si>
  <si>
    <t>2.1.48</t>
  </si>
  <si>
    <t>2.1.49</t>
  </si>
  <si>
    <t>2.1.50</t>
  </si>
  <si>
    <t>2.1.51</t>
  </si>
  <si>
    <t>2.1.52</t>
  </si>
  <si>
    <t>2.1.53</t>
  </si>
  <si>
    <t>2.1.54</t>
  </si>
  <si>
    <t>2.1.55</t>
  </si>
  <si>
    <t>2.1.56</t>
  </si>
  <si>
    <t>2.1.57</t>
  </si>
  <si>
    <t>2.2.1</t>
  </si>
  <si>
    <t>2.2.2</t>
  </si>
  <si>
    <t>2.2.3</t>
  </si>
  <si>
    <t>2.2.4</t>
  </si>
  <si>
    <t>2.2.5</t>
  </si>
  <si>
    <t>2.2.6</t>
  </si>
  <si>
    <t>2.2.7</t>
  </si>
  <si>
    <t>2.2.8</t>
  </si>
  <si>
    <t>2.2.9</t>
  </si>
  <si>
    <t>2.2.10</t>
  </si>
  <si>
    <t>2.2.11</t>
  </si>
  <si>
    <t>2.2.12</t>
  </si>
  <si>
    <t>2.2.13</t>
  </si>
  <si>
    <t>2.2.14</t>
  </si>
  <si>
    <t>2.2.15</t>
  </si>
  <si>
    <t>2.2.16</t>
  </si>
  <si>
    <t>2.2.17</t>
  </si>
  <si>
    <t xml:space="preserve">TOTAL OPERAÇÃO </t>
  </si>
  <si>
    <t>VALOR TOTAL DO PROCESSO LICITATÓRIO</t>
  </si>
  <si>
    <t>Serviço de recadastramento e identificação de pontos integrados ao sistema de gerenciamento informatizado  geo-referenciado, relativamente ao acervo (pontos) do sistema de iluminação pública,  incluso o fornecimento de materiais (Plaquetas,fixações,adesivo).</t>
  </si>
  <si>
    <t>Fornecimento e instalação  de Luminária Decorativa de LED, com potência de até 75W ((conforme termo de referência)</t>
  </si>
  <si>
    <t>ILUMINAÇÃO CÊNICA - BIBLIOTECA MUNICIPAL E PARQUE SANTO EXPEDITO</t>
  </si>
  <si>
    <t>Fornecimento e instalação  de Luminária Pública de LED com potência até “240W” (conforme termo de referência)</t>
  </si>
  <si>
    <t>Fornecimento e instalção de poste de aço galvanizado à fogo, pintado com pintura eletrostática na cor da luminária a ser fornecida, com altura total de de 5,20m, altura livre 4,20 metros útil, coluna cônica facetada e sextavada, com furo de acesso aos cabos H= 0,80M; base com 130mm e topo 60mm para encaixe de luminária decorativa LED 60W; espessura da chapa do poste: 3,0mm; conforme desenho e detalhe em projeto.</t>
  </si>
  <si>
    <t>2.2.18</t>
  </si>
  <si>
    <t>Luminária Linear LED RGBW DMX-512, comprimento 1,00 a 1,20m, conforme espec. técnicas r), garantia de 3 (três) anos</t>
  </si>
  <si>
    <t>Luminária Linear LED RGBW DMX-512, comprimento 0,50 a 0,60m, conforme espec. técnicas ), garantia de 3 (três) anos</t>
  </si>
  <si>
    <t>Luminária LED Refletor Retangular bivolt, 50W, cor branca, temperatura de cor 4000 a 5000K.</t>
  </si>
  <si>
    <t xml:space="preserve">Lâmpada BulboLED 15W, alimentação 127V ou 220V, temperatura de cor 3000K ,instalação nos 2 postes decorativos junto ao portão de acesso </t>
  </si>
  <si>
    <t>Cliente:</t>
  </si>
  <si>
    <t>Prefeitura Municipal de Apucarana</t>
  </si>
  <si>
    <t>Objeto:</t>
  </si>
  <si>
    <t>CONTRATAÇÃO DE EMPRESA ESPECIALIZADA NA PRESTAÇÃO DE SERVIÇOS OPERACIONAIS DO PARQUE DE ILUMINAÇÃO PÚBLICA DO MUNICÍPIO DE APUCARANA, COMPREENDENDO A EXECUÇÃO DE SERVIÇOS DE MANUTENÇÃO PERMANENTE, REALIZAÇÃO DE MELHORIAS E MODERNIZAÇÃO DO PARQUE DE ILUMINAÇÃO PÚBLICA, MEDIANTE FORNECIMENTO DE MATERIAIS, MÃO DE OBRA, EQUIPAMENTOS E FERRAMENTAL NECESSÁRIOS.</t>
  </si>
  <si>
    <t>Composição de Bonificação de Despesas Indiretas - BDI</t>
  </si>
  <si>
    <t>BDI dos Itens de Obra e Serviços</t>
  </si>
  <si>
    <t>Acórdão n° 2622/2013</t>
  </si>
  <si>
    <t>Descrição do Item</t>
  </si>
  <si>
    <t>%</t>
  </si>
  <si>
    <t>I</t>
  </si>
  <si>
    <t>Parcelas Incidentes sobre o Custo Indireto</t>
  </si>
  <si>
    <t>1º Quartil</t>
  </si>
  <si>
    <t>Médio</t>
  </si>
  <si>
    <t>3º Quartil</t>
  </si>
  <si>
    <t>Administração Central (AC)</t>
  </si>
  <si>
    <t>II</t>
  </si>
  <si>
    <t>Parcelas Incidentes sobre o Faturamento</t>
  </si>
  <si>
    <t>Impostos (I)</t>
  </si>
  <si>
    <t>COFINS</t>
  </si>
  <si>
    <t>PIS</t>
  </si>
  <si>
    <t>1.3</t>
  </si>
  <si>
    <t>CPRB</t>
  </si>
  <si>
    <t>1.4</t>
  </si>
  <si>
    <t>ISS</t>
  </si>
  <si>
    <t>Lucro (L)</t>
  </si>
  <si>
    <t>Seguro (S) + Garantia (G)</t>
  </si>
  <si>
    <t>Riscos (R)</t>
  </si>
  <si>
    <t>Despesas Financeiras (DF)</t>
  </si>
  <si>
    <t>III</t>
  </si>
  <si>
    <t>Total do BDI</t>
  </si>
  <si>
    <t>Fórmula para cálculo do BDI:</t>
  </si>
  <si>
    <t>Valores do BDI por Tipo de Obra</t>
  </si>
  <si>
    <t xml:space="preserve">                                      BDI =    (1 + AC + S + G + R) * (1 + DF) * (1 + L)    - 1
                                                                                 (1 - I)</t>
  </si>
  <si>
    <t>ACÓRDÃO Nº 2622/2013 – TCU – Plenário</t>
  </si>
  <si>
    <t>CRONOGRAMA FÍSICO-FINANCEIRO</t>
  </si>
  <si>
    <t>OBRA:</t>
  </si>
  <si>
    <t xml:space="preserve">Discriminação dos serviços
</t>
  </si>
  <si>
    <t>Total dos
Serviços (R$)</t>
  </si>
  <si>
    <t>Peso (%)</t>
  </si>
  <si>
    <t>VALOR DO DESEMBOLSO NO PERIODO</t>
  </si>
  <si>
    <t>mês 01</t>
  </si>
  <si>
    <t>mês 02</t>
  </si>
  <si>
    <t>mês 03</t>
  </si>
  <si>
    <t>mês 04</t>
  </si>
  <si>
    <t>mês 05</t>
  </si>
  <si>
    <t>mês 06</t>
  </si>
  <si>
    <t>mês 07</t>
  </si>
  <si>
    <t>mês 08</t>
  </si>
  <si>
    <t>mês 09</t>
  </si>
  <si>
    <t>mês 10</t>
  </si>
  <si>
    <t>mês 11</t>
  </si>
  <si>
    <t>mês 12</t>
  </si>
  <si>
    <t>1.</t>
  </si>
  <si>
    <t>Manutenção Operacional e Corretiva da Iluminação Pública</t>
  </si>
  <si>
    <t>Serviço de recadastramento e identificação de pontos</t>
  </si>
  <si>
    <t>Serviço de teleatendimento a população com fornecimento de telefone 0800 e software de gerenciamento e gestão</t>
  </si>
  <si>
    <t>2.</t>
  </si>
  <si>
    <t>Iluminação cênica - rodoviária</t>
  </si>
  <si>
    <t>Fornecimento e instalação  de Luminária Decorativa de LED</t>
  </si>
  <si>
    <t>Instalação de Telegestão</t>
  </si>
  <si>
    <t>TOTAL MENSAL</t>
  </si>
  <si>
    <t>TOTAL ACUMULADO</t>
  </si>
  <si>
    <t>Controlador dedicado para fazer o gerenciamento de luminárias LED que utilizam o protocolo ART-Net/DMX512, com memória para armazenamento de programação, usadas na iluminação arquitetural de monumentos e prédios em geral. Controlador protegido por caixa de PVC IP 65, com placa microprocessada, cartão de memória 16 GB classe 10, placa com fonte de alimentação e relé para ligação em contatora, roteador Wi-Fi interno, cabo de alimentação com conexão via rede Ethernet. Deverá permitir controle a distância, via interface e wi-fi, o funcionamento de projetores RGBW (red, green, blue, white), com possibilidade de agendar horários, troca de cores, mudança de intensidade de luz, aplicação de efeitos especiais, criação de cenários próprios, facilitando a participação em campanhas nacionais (outubro rosa, novembro azul, etc) ou a realização de outros eventos.</t>
  </si>
  <si>
    <t>V.UNITÁRIO (R$)</t>
  </si>
  <si>
    <t>PLANILHA QUANTITATIVA DE MATERIAIS E SERVIÇOS</t>
  </si>
  <si>
    <t>2.2.19</t>
  </si>
  <si>
    <t>Fornecimento e instalação  de Luminária Publica de LED com potência até “100w” (conforme termo de referência)</t>
  </si>
  <si>
    <t>SUBSTITUIÇÃO DE LUMINÁRIAS EXISTENSTES E APLICAÇÃO DE LUMINÁRIAS LED  E TELEGESTÃO</t>
  </si>
  <si>
    <r>
      <t xml:space="preserve">Manutenção Operacional e Corretiva da Iluminação Pública: </t>
    </r>
    <r>
      <rPr>
        <sz val="7"/>
        <rFont val="Arial"/>
        <family val="2"/>
      </rPr>
      <t xml:space="preserve">Conjunto de serviços necessários para que a Rede de Iluminação Pública desempenhe sua função e opere em condição normal, padronizada e de segurança, envolvendo ações corretivas, incluindo o fornecimento </t>
    </r>
    <r>
      <rPr>
        <b/>
        <sz val="7"/>
        <rFont val="Arial"/>
        <family val="2"/>
      </rPr>
      <t xml:space="preserve">e </t>
    </r>
    <r>
      <rPr>
        <sz val="7"/>
        <rFont val="Arial"/>
        <family val="2"/>
      </rPr>
      <t>aplicação de materiais e equipamentos necessários ao restabelecimento operacional.</t>
    </r>
  </si>
</sst>
</file>

<file path=xl/styles.xml><?xml version="1.0" encoding="utf-8"?>
<styleSheet xmlns="http://schemas.openxmlformats.org/spreadsheetml/2006/main">
  <numFmts count="8">
    <numFmt numFmtId="44" formatCode="_-&quot;R$&quot;\ * #,##0.00_-;\-&quot;R$&quot;\ * #,##0.00_-;_-&quot;R$&quot;\ * &quot;-&quot;??_-;_-@_-"/>
    <numFmt numFmtId="43" formatCode="_-* #,##0.00_-;\-* #,##0.00_-;_-* &quot;-&quot;??_-;_-@_-"/>
    <numFmt numFmtId="164" formatCode="&quot;R$&quot;\ #,##0.00"/>
    <numFmt numFmtId="165" formatCode="#,##0;[Red]#,##0"/>
    <numFmt numFmtId="166" formatCode="#,##0.00;[Red]#,##0.00"/>
    <numFmt numFmtId="167" formatCode="&quot;R$ &quot;#,##0.00_);[Red]\(&quot;R$ &quot;#,##0.00\)"/>
    <numFmt numFmtId="168" formatCode="_(* #,##0.00_);_(* \(#,##0.00\);_(* &quot;-&quot;??_);_(@_)"/>
    <numFmt numFmtId="169" formatCode="0.000%"/>
  </numFmts>
  <fonts count="33">
    <font>
      <sz val="11"/>
      <color theme="1"/>
      <name val="Calibri"/>
      <family val="2"/>
      <scheme val="minor"/>
    </font>
    <font>
      <sz val="11"/>
      <color theme="1"/>
      <name val="Calibri"/>
      <family val="2"/>
      <scheme val="minor"/>
    </font>
    <font>
      <sz val="10"/>
      <name val="Arial"/>
      <family val="2"/>
    </font>
    <font>
      <sz val="8"/>
      <name val="Arial"/>
      <family val="2"/>
    </font>
    <font>
      <b/>
      <sz val="8"/>
      <name val="Arial"/>
      <family val="2"/>
    </font>
    <font>
      <sz val="11"/>
      <color indexed="8"/>
      <name val="Calibri"/>
      <family val="2"/>
    </font>
    <font>
      <b/>
      <sz val="10"/>
      <color theme="1"/>
      <name val="Arial"/>
      <family val="2"/>
    </font>
    <font>
      <sz val="8"/>
      <color theme="1"/>
      <name val="Arial"/>
      <family val="2"/>
    </font>
    <font>
      <b/>
      <sz val="8"/>
      <color theme="1"/>
      <name val="Arial"/>
      <family val="2"/>
    </font>
    <font>
      <sz val="8"/>
      <name val="Calibri"/>
      <family val="2"/>
      <scheme val="minor"/>
    </font>
    <font>
      <sz val="12"/>
      <color theme="1"/>
      <name val="Arial"/>
      <family val="2"/>
    </font>
    <font>
      <sz val="10"/>
      <color theme="1"/>
      <name val="Arial"/>
      <family val="2"/>
    </font>
    <font>
      <b/>
      <sz val="8"/>
      <color rgb="FFFF0000"/>
      <name val="Arial"/>
      <family val="2"/>
    </font>
    <font>
      <sz val="8"/>
      <color rgb="FFFF0000"/>
      <name val="Arial"/>
      <family val="2"/>
    </font>
    <font>
      <sz val="12"/>
      <name val="Arial"/>
      <family val="2"/>
    </font>
    <font>
      <b/>
      <sz val="10"/>
      <name val="Arial"/>
      <family val="2"/>
    </font>
    <font>
      <sz val="10"/>
      <color indexed="12"/>
      <name val="Arial"/>
      <family val="2"/>
    </font>
    <font>
      <b/>
      <sz val="16"/>
      <name val="Calibri"/>
      <family val="2"/>
      <scheme val="minor"/>
    </font>
    <font>
      <b/>
      <sz val="10"/>
      <name val="Calibri"/>
      <family val="2"/>
      <scheme val="minor"/>
    </font>
    <font>
      <sz val="10"/>
      <name val="Calibri"/>
      <family val="2"/>
      <scheme val="minor"/>
    </font>
    <font>
      <sz val="7"/>
      <name val="Arial"/>
      <family val="2"/>
    </font>
    <font>
      <sz val="7"/>
      <color theme="1"/>
      <name val="Arial"/>
      <family val="2"/>
    </font>
    <font>
      <sz val="9"/>
      <name val="Calibri"/>
      <family val="2"/>
      <scheme val="minor"/>
    </font>
    <font>
      <b/>
      <sz val="7"/>
      <name val="Arial"/>
      <family val="2"/>
    </font>
    <font>
      <sz val="7"/>
      <color theme="1"/>
      <name val="Calibri"/>
      <family val="2"/>
      <scheme val="minor"/>
    </font>
    <font>
      <b/>
      <sz val="7"/>
      <color theme="1"/>
      <name val="Calibri"/>
      <family val="2"/>
      <scheme val="minor"/>
    </font>
    <font>
      <b/>
      <sz val="9"/>
      <name val="Calibri"/>
      <family val="2"/>
      <scheme val="minor"/>
    </font>
    <font>
      <sz val="9"/>
      <color theme="1"/>
      <name val="Arial"/>
      <family val="2"/>
    </font>
    <font>
      <sz val="9"/>
      <color theme="1"/>
      <name val="Calibri"/>
      <family val="2"/>
      <scheme val="minor"/>
    </font>
    <font>
      <sz val="8"/>
      <color theme="1"/>
      <name val="Calibri"/>
      <family val="2"/>
      <scheme val="minor"/>
    </font>
    <font>
      <b/>
      <sz val="7"/>
      <color theme="1"/>
      <name val="Arial"/>
      <family val="2"/>
    </font>
    <font>
      <sz val="7"/>
      <name val="Arial"/>
      <family val="2"/>
      <charset val="1"/>
    </font>
    <font>
      <sz val="7"/>
      <color rgb="FF000000"/>
      <name val="Arial"/>
      <family val="2"/>
      <charset val="1"/>
    </font>
  </fonts>
  <fills count="8">
    <fill>
      <patternFill patternType="none"/>
    </fill>
    <fill>
      <patternFill patternType="gray125"/>
    </fill>
    <fill>
      <patternFill patternType="solid">
        <fgColor theme="9" tint="0.59999389629810485"/>
        <bgColor indexed="64"/>
      </patternFill>
    </fill>
    <fill>
      <patternFill patternType="solid">
        <fgColor theme="8" tint="0.79998168889431442"/>
        <bgColor indexed="64"/>
      </patternFill>
    </fill>
    <fill>
      <patternFill patternType="solid">
        <fgColor rgb="FF00B0F0"/>
        <bgColor indexed="64"/>
      </patternFill>
    </fill>
    <fill>
      <patternFill patternType="solid">
        <fgColor theme="9" tint="0.39997558519241921"/>
        <bgColor indexed="64"/>
      </patternFill>
    </fill>
    <fill>
      <patternFill patternType="solid">
        <fgColor rgb="FFFFFF00"/>
        <bgColor indexed="64"/>
      </patternFill>
    </fill>
    <fill>
      <patternFill patternType="solid">
        <fgColor theme="0"/>
        <bgColor indexed="64"/>
      </patternFill>
    </fill>
  </fills>
  <borders count="47">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style="medium">
        <color indexed="64"/>
      </top>
      <bottom style="medium">
        <color indexed="64"/>
      </bottom>
      <diagonal/>
    </border>
    <border>
      <left/>
      <right style="thin">
        <color indexed="64"/>
      </right>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right style="medium">
        <color indexed="64"/>
      </right>
      <top/>
      <bottom/>
      <diagonal/>
    </border>
    <border>
      <left style="medium">
        <color indexed="64"/>
      </left>
      <right style="medium">
        <color indexed="64"/>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s>
  <cellStyleXfs count="10">
    <xf numFmtId="0" fontId="0" fillId="0" borderId="0"/>
    <xf numFmtId="44" fontId="1" fillId="0" borderId="0" applyFont="0" applyFill="0" applyBorder="0" applyAlignment="0" applyProtection="0"/>
    <xf numFmtId="0" fontId="5" fillId="0" borderId="0" applyBorder="0" applyProtection="0"/>
    <xf numFmtId="0" fontId="2" fillId="0" borderId="0" applyNumberFormat="0" applyFont="0" applyFill="0" applyBorder="0" applyAlignment="0" applyProtection="0">
      <alignment vertical="top"/>
    </xf>
    <xf numFmtId="0" fontId="2" fillId="0" borderId="0" applyNumberFormat="0" applyFont="0" applyFill="0" applyBorder="0" applyAlignment="0" applyProtection="0">
      <alignment vertical="top"/>
    </xf>
    <xf numFmtId="0" fontId="2" fillId="0" borderId="0" applyNumberFormat="0" applyFont="0" applyFill="0" applyBorder="0" applyAlignment="0" applyProtection="0">
      <alignment vertical="top"/>
    </xf>
    <xf numFmtId="9" fontId="2" fillId="0" borderId="0" applyFont="0" applyFill="0" applyBorder="0" applyAlignment="0" applyProtection="0"/>
    <xf numFmtId="167" fontId="2" fillId="0" borderId="0" applyFont="0" applyFill="0" applyBorder="0" applyAlignment="0" applyProtection="0"/>
    <xf numFmtId="9" fontId="2" fillId="0" borderId="0" applyFont="0" applyFill="0" applyBorder="0" applyAlignment="0" applyProtection="0"/>
    <xf numFmtId="168" fontId="2" fillId="0" borderId="0" applyFont="0" applyFill="0" applyBorder="0" applyAlignment="0" applyProtection="0"/>
  </cellStyleXfs>
  <cellXfs count="194">
    <xf numFmtId="0" fontId="0" fillId="0" borderId="0" xfId="0"/>
    <xf numFmtId="0" fontId="0" fillId="0" borderId="0" xfId="0" applyAlignment="1">
      <alignment horizontal="justify"/>
    </xf>
    <xf numFmtId="0" fontId="8" fillId="0" borderId="1" xfId="0" applyFont="1" applyBorder="1" applyAlignment="1">
      <alignment horizontal="center"/>
    </xf>
    <xf numFmtId="0" fontId="10" fillId="0" borderId="0" xfId="0" applyFont="1" applyAlignment="1">
      <alignment vertical="center"/>
    </xf>
    <xf numFmtId="0" fontId="10" fillId="0" borderId="0" xfId="0" applyFont="1"/>
    <xf numFmtId="0" fontId="6" fillId="0" borderId="2" xfId="0" applyFont="1" applyBorder="1" applyAlignment="1">
      <alignment horizontal="center" vertical="center"/>
    </xf>
    <xf numFmtId="0" fontId="7" fillId="0" borderId="0" xfId="0" applyFont="1"/>
    <xf numFmtId="0" fontId="4" fillId="0" borderId="1" xfId="0" applyFont="1" applyBorder="1" applyAlignment="1">
      <alignment horizontal="center" vertical="center"/>
    </xf>
    <xf numFmtId="0" fontId="3" fillId="0" borderId="0" xfId="0" applyFont="1" applyAlignment="1">
      <alignment vertical="center"/>
    </xf>
    <xf numFmtId="0" fontId="4" fillId="0" borderId="1" xfId="0" applyFont="1" applyBorder="1" applyAlignment="1">
      <alignment horizontal="left" vertical="center"/>
    </xf>
    <xf numFmtId="10" fontId="4" fillId="0" borderId="1" xfId="0" applyNumberFormat="1" applyFont="1" applyBorder="1" applyAlignment="1">
      <alignment horizontal="right" vertical="center" indent="2"/>
    </xf>
    <xf numFmtId="0" fontId="4"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vertical="center"/>
    </xf>
    <xf numFmtId="10" fontId="3" fillId="0" borderId="1" xfId="0" applyNumberFormat="1" applyFont="1" applyBorder="1" applyAlignment="1">
      <alignment horizontal="right" vertical="center" indent="2"/>
    </xf>
    <xf numFmtId="10" fontId="3" fillId="0" borderId="1" xfId="6" applyNumberFormat="1" applyFont="1" applyFill="1" applyBorder="1" applyAlignment="1" applyProtection="1">
      <alignment horizontal="center" vertical="center"/>
    </xf>
    <xf numFmtId="10" fontId="3" fillId="7" borderId="1" xfId="0" applyNumberFormat="1" applyFont="1" applyFill="1" applyBorder="1" applyAlignment="1">
      <alignment horizontal="right" vertical="center" indent="2"/>
    </xf>
    <xf numFmtId="0" fontId="13" fillId="0" borderId="0" xfId="0" applyFont="1"/>
    <xf numFmtId="0" fontId="3" fillId="0" borderId="1" xfId="0" quotePrefix="1" applyFont="1" applyBorder="1" applyAlignment="1">
      <alignment vertical="center"/>
    </xf>
    <xf numFmtId="10" fontId="4" fillId="0" borderId="1" xfId="6" applyNumberFormat="1" applyFont="1" applyFill="1" applyBorder="1" applyAlignment="1" applyProtection="1">
      <alignment horizontal="center" vertical="center"/>
    </xf>
    <xf numFmtId="10" fontId="4" fillId="6" borderId="1" xfId="6" applyNumberFormat="1" applyFont="1" applyFill="1" applyBorder="1" applyAlignment="1" applyProtection="1">
      <alignment horizontal="center" vertical="center"/>
    </xf>
    <xf numFmtId="0" fontId="14" fillId="0" borderId="0" xfId="0" applyFont="1" applyAlignment="1">
      <alignment vertical="center"/>
    </xf>
    <xf numFmtId="0" fontId="7" fillId="0" borderId="0" xfId="0" applyFont="1" applyAlignment="1">
      <alignment vertical="center"/>
    </xf>
    <xf numFmtId="49" fontId="2" fillId="0" borderId="0" xfId="4" applyNumberFormat="1" applyFont="1" applyFill="1" applyAlignment="1">
      <alignment vertical="center"/>
    </xf>
    <xf numFmtId="0" fontId="2" fillId="0" borderId="0" xfId="4" applyNumberFormat="1" applyFont="1" applyFill="1" applyBorder="1" applyAlignment="1">
      <alignment horizontal="justify" vertical="center"/>
    </xf>
    <xf numFmtId="0" fontId="15" fillId="0" borderId="0" xfId="4" applyNumberFormat="1" applyFont="1" applyFill="1" applyBorder="1" applyAlignment="1">
      <alignment vertical="center"/>
    </xf>
    <xf numFmtId="0" fontId="16" fillId="0" borderId="0" xfId="4" applyNumberFormat="1" applyFont="1" applyFill="1" applyBorder="1" applyAlignment="1">
      <alignment vertical="center"/>
    </xf>
    <xf numFmtId="168" fontId="2" fillId="0" borderId="0" xfId="4" applyNumberFormat="1" applyFont="1" applyFill="1" applyAlignment="1">
      <alignment vertical="center"/>
    </xf>
    <xf numFmtId="0" fontId="2" fillId="0" borderId="0" xfId="4" applyNumberFormat="1" applyFont="1" applyFill="1" applyAlignment="1">
      <alignment vertical="center"/>
    </xf>
    <xf numFmtId="10" fontId="2" fillId="0" borderId="0" xfId="4" applyNumberFormat="1" applyFont="1" applyFill="1" applyAlignment="1">
      <alignment horizontal="center" vertical="center"/>
    </xf>
    <xf numFmtId="0" fontId="2" fillId="0" borderId="0" xfId="4" applyNumberFormat="1" applyFont="1" applyFill="1" applyBorder="1" applyAlignment="1">
      <alignment vertical="center"/>
    </xf>
    <xf numFmtId="0" fontId="2" fillId="0" borderId="0" xfId="4" applyNumberFormat="1" applyFont="1" applyFill="1" applyBorder="1" applyAlignment="1">
      <alignment vertical="top"/>
    </xf>
    <xf numFmtId="0" fontId="19" fillId="0" borderId="0" xfId="3" applyFont="1" applyBorder="1" applyAlignment="1"/>
    <xf numFmtId="10" fontId="18" fillId="0" borderId="41" xfId="8" applyNumberFormat="1" applyFont="1" applyFill="1" applyBorder="1" applyAlignment="1">
      <alignment horizontal="center" wrapText="1"/>
    </xf>
    <xf numFmtId="10" fontId="18" fillId="0" borderId="42" xfId="8" applyNumberFormat="1" applyFont="1" applyFill="1" applyBorder="1" applyAlignment="1">
      <alignment horizontal="center" wrapText="1"/>
    </xf>
    <xf numFmtId="0" fontId="20" fillId="0" borderId="36" xfId="3" applyFont="1" applyFill="1" applyBorder="1" applyAlignment="1">
      <alignment horizontal="justify" vertical="center" wrapText="1"/>
    </xf>
    <xf numFmtId="168" fontId="21" fillId="0" borderId="36" xfId="9" applyFont="1" applyFill="1" applyBorder="1" applyAlignment="1">
      <alignment vertical="center"/>
    </xf>
    <xf numFmtId="169" fontId="20" fillId="0" borderId="36" xfId="8" applyNumberFormat="1" applyFont="1" applyFill="1" applyBorder="1" applyAlignment="1">
      <alignment vertical="center"/>
    </xf>
    <xf numFmtId="4" fontId="20" fillId="0" borderId="36" xfId="3" applyNumberFormat="1" applyFont="1" applyFill="1" applyBorder="1" applyAlignment="1">
      <alignment horizontal="right" vertical="center"/>
    </xf>
    <xf numFmtId="4" fontId="20" fillId="0" borderId="43" xfId="3" applyNumberFormat="1" applyFont="1" applyFill="1" applyBorder="1" applyAlignment="1">
      <alignment horizontal="right" vertical="center"/>
    </xf>
    <xf numFmtId="0" fontId="19" fillId="0" borderId="0" xfId="3" applyFont="1" applyFill="1" applyAlignment="1"/>
    <xf numFmtId="0" fontId="20" fillId="0" borderId="1" xfId="3" applyFont="1" applyFill="1" applyBorder="1" applyAlignment="1">
      <alignment horizontal="justify" vertical="center" wrapText="1"/>
    </xf>
    <xf numFmtId="168" fontId="21" fillId="0" borderId="1" xfId="9" applyFont="1" applyFill="1" applyBorder="1" applyAlignment="1">
      <alignment vertical="center"/>
    </xf>
    <xf numFmtId="169" fontId="20" fillId="0" borderId="1" xfId="8" applyNumberFormat="1" applyFont="1" applyFill="1" applyBorder="1" applyAlignment="1">
      <alignment vertical="center"/>
    </xf>
    <xf numFmtId="4" fontId="20" fillId="0" borderId="1" xfId="8" applyNumberFormat="1" applyFont="1" applyFill="1" applyBorder="1" applyAlignment="1">
      <alignment horizontal="right" vertical="center"/>
    </xf>
    <xf numFmtId="4" fontId="20" fillId="0" borderId="45" xfId="8" applyNumberFormat="1" applyFont="1" applyFill="1" applyBorder="1" applyAlignment="1">
      <alignment horizontal="right" vertical="center"/>
    </xf>
    <xf numFmtId="4" fontId="20" fillId="0" borderId="1" xfId="3" applyNumberFormat="1" applyFont="1" applyFill="1" applyBorder="1" applyAlignment="1">
      <alignment vertical="center"/>
    </xf>
    <xf numFmtId="4" fontId="20" fillId="0" borderId="45" xfId="3" applyNumberFormat="1" applyFont="1" applyFill="1" applyBorder="1" applyAlignment="1">
      <alignment vertical="center"/>
    </xf>
    <xf numFmtId="0" fontId="2" fillId="0" borderId="0" xfId="3" applyFont="1" applyFill="1" applyAlignment="1"/>
    <xf numFmtId="0" fontId="18" fillId="0" borderId="46" xfId="3" applyFont="1" applyFill="1" applyBorder="1" applyAlignment="1">
      <alignment horizontal="right" vertical="center"/>
    </xf>
    <xf numFmtId="0" fontId="20" fillId="0" borderId="1" xfId="3" applyFont="1" applyFill="1" applyBorder="1" applyAlignment="1">
      <alignment horizontal="justify" vertical="center"/>
    </xf>
    <xf numFmtId="4" fontId="20" fillId="0" borderId="1" xfId="3" applyNumberFormat="1" applyFont="1" applyFill="1" applyBorder="1" applyAlignment="1">
      <alignment horizontal="right" vertical="center"/>
    </xf>
    <xf numFmtId="4" fontId="20" fillId="0" borderId="45" xfId="3" applyNumberFormat="1" applyFont="1" applyFill="1" applyBorder="1" applyAlignment="1">
      <alignment horizontal="right" vertical="center"/>
    </xf>
    <xf numFmtId="10" fontId="22" fillId="0" borderId="46" xfId="8" applyNumberFormat="1" applyFont="1" applyFill="1" applyBorder="1" applyAlignment="1">
      <alignment horizontal="right"/>
    </xf>
    <xf numFmtId="168" fontId="2" fillId="0" borderId="0" xfId="3" applyNumberFormat="1" applyFont="1" applyFill="1" applyAlignment="1"/>
    <xf numFmtId="168" fontId="23" fillId="0" borderId="1" xfId="9" applyFont="1" applyFill="1" applyBorder="1"/>
    <xf numFmtId="4" fontId="24" fillId="0" borderId="41" xfId="0" applyNumberFormat="1" applyFont="1" applyBorder="1"/>
    <xf numFmtId="4" fontId="25" fillId="0" borderId="42" xfId="0" applyNumberFormat="1" applyFont="1" applyBorder="1"/>
    <xf numFmtId="0" fontId="15" fillId="0" borderId="0" xfId="3" applyFont="1" applyFill="1" applyAlignment="1"/>
    <xf numFmtId="43" fontId="0" fillId="0" borderId="0" xfId="0" applyNumberFormat="1" applyAlignment="1">
      <alignment horizontal="justify"/>
    </xf>
    <xf numFmtId="168" fontId="0" fillId="0" borderId="0" xfId="9" applyFont="1" applyFill="1"/>
    <xf numFmtId="0" fontId="2" fillId="0" borderId="0" xfId="3" applyFill="1" applyAlignment="1">
      <alignment horizontal="center"/>
    </xf>
    <xf numFmtId="168" fontId="26" fillId="0" borderId="46" xfId="9" applyFont="1" applyFill="1" applyBorder="1" applyAlignment="1">
      <alignment horizontal="right"/>
    </xf>
    <xf numFmtId="0" fontId="27" fillId="0" borderId="0" xfId="0" applyFont="1" applyAlignment="1">
      <alignment vertical="center"/>
    </xf>
    <xf numFmtId="0" fontId="28" fillId="0" borderId="0" xfId="0" applyFont="1"/>
    <xf numFmtId="43" fontId="0" fillId="0" borderId="0" xfId="0" applyNumberFormat="1"/>
    <xf numFmtId="43" fontId="2" fillId="0" borderId="0" xfId="3" applyNumberFormat="1" applyFont="1" applyFill="1" applyAlignment="1"/>
    <xf numFmtId="0" fontId="4" fillId="0" borderId="22" xfId="0" applyFont="1" applyBorder="1" applyAlignment="1">
      <alignment vertical="center"/>
    </xf>
    <xf numFmtId="0" fontId="3" fillId="6" borderId="1" xfId="0" applyFont="1" applyFill="1" applyBorder="1" applyAlignment="1">
      <alignment horizontal="center" vertical="center"/>
    </xf>
    <xf numFmtId="168" fontId="4" fillId="0" borderId="25" xfId="7" applyNumberFormat="1" applyFont="1" applyBorder="1" applyAlignment="1" applyProtection="1">
      <alignment horizontal="left" vertical="center" wrapText="1"/>
      <protection locked="0"/>
    </xf>
    <xf numFmtId="168" fontId="4" fillId="0" borderId="26" xfId="7" applyNumberFormat="1" applyFont="1" applyBorder="1" applyAlignment="1" applyProtection="1">
      <alignment horizontal="left" vertical="center" wrapText="1"/>
      <protection locked="0"/>
    </xf>
    <xf numFmtId="168" fontId="4" fillId="0" borderId="27" xfId="7" applyNumberFormat="1" applyFont="1" applyBorder="1" applyAlignment="1" applyProtection="1">
      <alignment horizontal="left" vertical="center" wrapText="1"/>
      <protection locked="0"/>
    </xf>
    <xf numFmtId="0" fontId="3" fillId="6" borderId="1" xfId="0" applyFont="1" applyFill="1" applyBorder="1" applyAlignment="1">
      <alignment horizontal="center" vertical="center" wrapText="1"/>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18" xfId="0" applyFont="1" applyBorder="1" applyAlignment="1">
      <alignment horizontal="center" vertical="center"/>
    </xf>
    <xf numFmtId="0" fontId="11" fillId="0" borderId="4" xfId="0" applyFont="1" applyBorder="1" applyAlignment="1">
      <alignment horizontal="center" vertical="center" wrapText="1"/>
    </xf>
    <xf numFmtId="0" fontId="11" fillId="0" borderId="18" xfId="0" applyFont="1" applyBorder="1" applyAlignment="1">
      <alignment horizontal="center" vertical="center" wrapText="1"/>
    </xf>
    <xf numFmtId="0" fontId="8" fillId="0" borderId="19" xfId="0" applyFont="1" applyBorder="1" applyAlignment="1">
      <alignment horizontal="center" vertical="center"/>
    </xf>
    <xf numFmtId="0" fontId="8" fillId="0" borderId="22" xfId="0" applyFont="1" applyBorder="1" applyAlignment="1">
      <alignment horizontal="center" vertical="center"/>
    </xf>
    <xf numFmtId="0" fontId="12" fillId="6" borderId="20" xfId="0" applyFont="1" applyFill="1" applyBorder="1" applyAlignment="1">
      <alignment horizontal="center" vertical="center"/>
    </xf>
    <xf numFmtId="0" fontId="12" fillId="6" borderId="0" xfId="0" applyFont="1" applyFill="1" applyAlignment="1">
      <alignment horizontal="center" vertical="center"/>
    </xf>
    <xf numFmtId="0" fontId="12" fillId="6" borderId="21" xfId="0" applyFont="1" applyFill="1" applyBorder="1" applyAlignment="1">
      <alignment horizontal="center" vertical="center"/>
    </xf>
    <xf numFmtId="0" fontId="12" fillId="6" borderId="23" xfId="0" applyFont="1" applyFill="1" applyBorder="1" applyAlignment="1">
      <alignment horizontal="center" vertical="center"/>
    </xf>
    <xf numFmtId="0" fontId="12" fillId="6" borderId="22" xfId="0" applyFont="1" applyFill="1" applyBorder="1" applyAlignment="1">
      <alignment horizontal="center" vertical="center"/>
    </xf>
    <xf numFmtId="0" fontId="12" fillId="6" borderId="24" xfId="0" applyFont="1" applyFill="1" applyBorder="1" applyAlignment="1">
      <alignment horizontal="center" vertical="center"/>
    </xf>
    <xf numFmtId="0" fontId="3" fillId="0" borderId="0" xfId="0" applyFont="1" applyAlignment="1">
      <alignment vertical="center" wrapText="1"/>
    </xf>
    <xf numFmtId="0" fontId="20" fillId="0" borderId="35" xfId="3" applyFont="1" applyFill="1" applyBorder="1" applyAlignment="1">
      <alignment horizontal="center" vertical="center"/>
    </xf>
    <xf numFmtId="0" fontId="20" fillId="0" borderId="44" xfId="3" applyFont="1" applyFill="1" applyBorder="1" applyAlignment="1">
      <alignment horizontal="center" vertical="center"/>
    </xf>
    <xf numFmtId="0" fontId="23" fillId="0" borderId="44" xfId="3" applyFont="1" applyFill="1" applyBorder="1" applyAlignment="1">
      <alignment horizontal="center"/>
    </xf>
    <xf numFmtId="0" fontId="23" fillId="0" borderId="1" xfId="3" applyFont="1" applyFill="1" applyBorder="1" applyAlignment="1">
      <alignment horizontal="center"/>
    </xf>
    <xf numFmtId="0" fontId="23" fillId="0" borderId="40" xfId="3" applyFont="1" applyFill="1" applyBorder="1" applyAlignment="1">
      <alignment horizontal="center"/>
    </xf>
    <xf numFmtId="0" fontId="23" fillId="0" borderId="41" xfId="3" applyFont="1" applyFill="1" applyBorder="1" applyAlignment="1">
      <alignment horizontal="center"/>
    </xf>
    <xf numFmtId="0" fontId="17" fillId="0" borderId="3" xfId="0" applyFont="1" applyBorder="1" applyAlignment="1">
      <alignment horizontal="center" vertical="center"/>
    </xf>
    <xf numFmtId="0" fontId="17" fillId="0" borderId="4" xfId="0" applyFont="1" applyBorder="1" applyAlignment="1">
      <alignment horizontal="center" vertical="center"/>
    </xf>
    <xf numFmtId="0" fontId="17" fillId="0" borderId="18" xfId="0" applyFont="1" applyBorder="1" applyAlignment="1">
      <alignment horizontal="center" vertical="center"/>
    </xf>
    <xf numFmtId="0" fontId="18" fillId="0" borderId="28" xfId="0" applyFont="1" applyBorder="1" applyAlignment="1">
      <alignment horizontal="center" vertical="center"/>
    </xf>
    <xf numFmtId="0" fontId="18" fillId="0" borderId="30" xfId="0" applyFont="1" applyBorder="1" applyAlignment="1">
      <alignment horizontal="center" vertical="center"/>
    </xf>
    <xf numFmtId="0" fontId="18" fillId="0" borderId="32" xfId="0" applyFont="1" applyBorder="1" applyAlignment="1">
      <alignment horizontal="center" vertical="center"/>
    </xf>
    <xf numFmtId="0" fontId="19" fillId="0" borderId="19" xfId="0" applyFont="1" applyBorder="1" applyAlignment="1">
      <alignment horizontal="center" vertical="center" wrapText="1"/>
    </xf>
    <xf numFmtId="0" fontId="19" fillId="0" borderId="29" xfId="0" applyFont="1" applyBorder="1" applyAlignment="1">
      <alignment horizontal="center" vertical="center" wrapText="1"/>
    </xf>
    <xf numFmtId="0" fontId="19" fillId="0" borderId="0" xfId="0" applyFont="1" applyAlignment="1">
      <alignment horizontal="center" vertical="center" wrapText="1"/>
    </xf>
    <xf numFmtId="0" fontId="19" fillId="0" borderId="31" xfId="0" applyFont="1" applyBorder="1" applyAlignment="1">
      <alignment horizontal="center" vertical="center" wrapText="1"/>
    </xf>
    <xf numFmtId="0" fontId="19" fillId="0" borderId="33" xfId="0" applyFont="1" applyBorder="1" applyAlignment="1">
      <alignment horizontal="center" vertical="center" wrapText="1"/>
    </xf>
    <xf numFmtId="0" fontId="19" fillId="0" borderId="34" xfId="0" applyFont="1" applyBorder="1" applyAlignment="1">
      <alignment horizontal="center" vertical="center" wrapText="1"/>
    </xf>
    <xf numFmtId="0" fontId="18" fillId="0" borderId="35" xfId="3" applyFont="1" applyFill="1" applyBorder="1" applyAlignment="1">
      <alignment horizontal="center" vertical="center" wrapText="1"/>
    </xf>
    <xf numFmtId="0" fontId="18" fillId="0" borderId="40" xfId="3" applyFont="1" applyFill="1" applyBorder="1" applyAlignment="1">
      <alignment horizontal="center" vertical="center" wrapText="1"/>
    </xf>
    <xf numFmtId="0" fontId="18" fillId="0" borderId="12" xfId="3" applyFont="1" applyFill="1" applyBorder="1" applyAlignment="1">
      <alignment horizontal="center" wrapText="1"/>
    </xf>
    <xf numFmtId="0" fontId="18" fillId="0" borderId="14" xfId="3" applyFont="1" applyFill="1" applyBorder="1" applyAlignment="1">
      <alignment horizontal="center"/>
    </xf>
    <xf numFmtId="0" fontId="18" fillId="0" borderId="12" xfId="3" applyFont="1" applyFill="1" applyBorder="1" applyAlignment="1">
      <alignment horizontal="center" vertical="center" wrapText="1"/>
    </xf>
    <xf numFmtId="0" fontId="18" fillId="0" borderId="14" xfId="3" applyFont="1" applyFill="1" applyBorder="1" applyAlignment="1">
      <alignment horizontal="center" vertical="center" wrapText="1"/>
    </xf>
    <xf numFmtId="10" fontId="18" fillId="0" borderId="36" xfId="8" applyNumberFormat="1" applyFont="1" applyFill="1" applyBorder="1" applyAlignment="1">
      <alignment horizontal="center" vertical="center" wrapText="1"/>
    </xf>
    <xf numFmtId="10" fontId="18" fillId="0" borderId="41" xfId="8" applyNumberFormat="1" applyFont="1" applyFill="1" applyBorder="1" applyAlignment="1">
      <alignment horizontal="center" vertical="center" wrapText="1"/>
    </xf>
    <xf numFmtId="0" fontId="18" fillId="0" borderId="37" xfId="3" applyFont="1" applyFill="1" applyBorder="1" applyAlignment="1">
      <alignment horizontal="center" vertical="center"/>
    </xf>
    <xf numFmtId="0" fontId="18" fillId="0" borderId="38" xfId="3" applyFont="1" applyFill="1" applyBorder="1" applyAlignment="1">
      <alignment horizontal="center" vertical="center"/>
    </xf>
    <xf numFmtId="0" fontId="18" fillId="0" borderId="39" xfId="3" applyFont="1" applyFill="1" applyBorder="1" applyAlignment="1">
      <alignment horizontal="center" vertical="center"/>
    </xf>
    <xf numFmtId="0" fontId="29" fillId="0" borderId="0" xfId="0" applyFont="1" applyAlignment="1">
      <alignment horizontal="center" vertical="center"/>
    </xf>
    <xf numFmtId="0" fontId="29" fillId="0" borderId="0" xfId="0" applyFont="1" applyAlignment="1">
      <alignment horizontal="justify"/>
    </xf>
    <xf numFmtId="0" fontId="29" fillId="0" borderId="0" xfId="0" applyFont="1"/>
    <xf numFmtId="165" fontId="29" fillId="0" borderId="0" xfId="0" applyNumberFormat="1" applyFont="1"/>
    <xf numFmtId="166" fontId="29" fillId="0" borderId="0" xfId="0" applyNumberFormat="1" applyFont="1"/>
    <xf numFmtId="164" fontId="29" fillId="0" borderId="0" xfId="0" applyNumberFormat="1" applyFont="1"/>
    <xf numFmtId="0" fontId="25" fillId="4" borderId="3" xfId="0" applyFont="1" applyFill="1" applyBorder="1" applyAlignment="1">
      <alignment horizontal="center" vertical="center"/>
    </xf>
    <xf numFmtId="0" fontId="25" fillId="4" borderId="4" xfId="0" applyFont="1" applyFill="1" applyBorder="1" applyAlignment="1">
      <alignment horizontal="center" vertical="center"/>
    </xf>
    <xf numFmtId="0" fontId="25" fillId="4" borderId="18" xfId="0" applyFont="1" applyFill="1" applyBorder="1" applyAlignment="1">
      <alignment horizontal="center" vertical="center"/>
    </xf>
    <xf numFmtId="0" fontId="30" fillId="2" borderId="6" xfId="0" applyFont="1" applyFill="1" applyBorder="1" applyAlignment="1">
      <alignment horizontal="center" vertical="center"/>
    </xf>
    <xf numFmtId="0" fontId="23" fillId="2" borderId="6" xfId="5" applyNumberFormat="1" applyFont="1" applyFill="1" applyBorder="1" applyAlignment="1" applyProtection="1">
      <alignment horizontal="center" vertical="center"/>
    </xf>
    <xf numFmtId="165" fontId="23" fillId="2" borderId="6" xfId="5" applyNumberFormat="1" applyFont="1" applyFill="1" applyBorder="1" applyAlignment="1" applyProtection="1">
      <alignment horizontal="center" vertical="center" wrapText="1"/>
    </xf>
    <xf numFmtId="166" fontId="23" fillId="2" borderId="6" xfId="5" applyNumberFormat="1" applyFont="1" applyFill="1" applyBorder="1" applyAlignment="1" applyProtection="1">
      <alignment horizontal="center" vertical="center" wrapText="1"/>
    </xf>
    <xf numFmtId="164" fontId="23" fillId="2" borderId="6" xfId="5" applyNumberFormat="1" applyFont="1" applyFill="1" applyBorder="1" applyAlignment="1" applyProtection="1">
      <alignment horizontal="center" vertical="center" wrapText="1"/>
    </xf>
    <xf numFmtId="0" fontId="23" fillId="3" borderId="1" xfId="5" applyNumberFormat="1" applyFont="1" applyFill="1" applyBorder="1" applyAlignment="1" applyProtection="1">
      <alignment horizontal="center" vertical="center"/>
    </xf>
    <xf numFmtId="0" fontId="23" fillId="3" borderId="1" xfId="5" applyNumberFormat="1" applyFont="1" applyFill="1" applyBorder="1" applyAlignment="1" applyProtection="1">
      <alignment horizontal="center" vertical="center"/>
    </xf>
    <xf numFmtId="0" fontId="21" fillId="0" borderId="1" xfId="0" applyFont="1" applyFill="1" applyBorder="1" applyAlignment="1">
      <alignment horizontal="center" vertical="center"/>
    </xf>
    <xf numFmtId="0" fontId="23" fillId="0" borderId="1" xfId="3" applyNumberFormat="1" applyFont="1" applyFill="1" applyBorder="1" applyAlignment="1" applyProtection="1">
      <alignment horizontal="center" vertical="center"/>
    </xf>
    <xf numFmtId="0" fontId="20" fillId="0" borderId="1" xfId="4" applyNumberFormat="1" applyFont="1" applyFill="1" applyBorder="1" applyAlignment="1" applyProtection="1">
      <alignment horizontal="center" vertical="center" wrapText="1"/>
    </xf>
    <xf numFmtId="165" fontId="21" fillId="0" borderId="1" xfId="0" applyNumberFormat="1" applyFont="1" applyFill="1" applyBorder="1" applyAlignment="1">
      <alignment horizontal="center" vertical="center"/>
    </xf>
    <xf numFmtId="166" fontId="21" fillId="0" borderId="1" xfId="1" applyNumberFormat="1" applyFont="1" applyFill="1" applyBorder="1" applyAlignment="1">
      <alignment horizontal="center" vertical="center"/>
    </xf>
    <xf numFmtId="164" fontId="21" fillId="0" borderId="1" xfId="1" applyNumberFormat="1" applyFont="1" applyFill="1" applyBorder="1" applyAlignment="1">
      <alignment horizontal="center" vertical="center"/>
    </xf>
    <xf numFmtId="0" fontId="21" fillId="0" borderId="1" xfId="0" applyFont="1" applyBorder="1" applyAlignment="1">
      <alignment horizontal="center" vertical="center"/>
    </xf>
    <xf numFmtId="0" fontId="20" fillId="0" borderId="1" xfId="3" applyNumberFormat="1" applyFont="1" applyFill="1" applyBorder="1" applyAlignment="1" applyProtection="1">
      <alignment horizontal="center" vertical="center"/>
    </xf>
    <xf numFmtId="165" fontId="21" fillId="0" borderId="1" xfId="0" applyNumberFormat="1" applyFont="1" applyBorder="1" applyAlignment="1">
      <alignment horizontal="center" vertical="center"/>
    </xf>
    <xf numFmtId="166" fontId="21" fillId="0" borderId="1" xfId="1" applyNumberFormat="1" applyFont="1" applyBorder="1" applyAlignment="1">
      <alignment horizontal="center" vertical="center"/>
    </xf>
    <xf numFmtId="164" fontId="21" fillId="0" borderId="1" xfId="1" applyNumberFormat="1" applyFont="1" applyBorder="1" applyAlignment="1">
      <alignment horizontal="center" vertical="center"/>
    </xf>
    <xf numFmtId="0" fontId="21" fillId="0" borderId="5" xfId="0" applyFont="1" applyBorder="1" applyAlignment="1">
      <alignment horizontal="center" vertical="center"/>
    </xf>
    <xf numFmtId="0" fontId="20" fillId="0" borderId="5" xfId="3" applyNumberFormat="1" applyFont="1" applyFill="1" applyBorder="1" applyAlignment="1" applyProtection="1">
      <alignment horizontal="center" vertical="center"/>
    </xf>
    <xf numFmtId="165" fontId="21" fillId="0" borderId="5" xfId="0" applyNumberFormat="1" applyFont="1" applyBorder="1" applyAlignment="1">
      <alignment horizontal="center" vertical="center"/>
    </xf>
    <xf numFmtId="166" fontId="21" fillId="0" borderId="5" xfId="1" applyNumberFormat="1" applyFont="1" applyBorder="1" applyAlignment="1">
      <alignment horizontal="center" vertical="center"/>
    </xf>
    <xf numFmtId="164" fontId="21" fillId="0" borderId="5" xfId="1" applyNumberFormat="1" applyFont="1" applyBorder="1" applyAlignment="1">
      <alignment horizontal="center" vertical="center"/>
    </xf>
    <xf numFmtId="0" fontId="30" fillId="2" borderId="11" xfId="0" applyFont="1" applyFill="1" applyBorder="1" applyAlignment="1">
      <alignment horizontal="center" vertical="center"/>
    </xf>
    <xf numFmtId="0" fontId="30" fillId="2" borderId="12" xfId="0" applyFont="1" applyFill="1" applyBorder="1" applyAlignment="1">
      <alignment horizontal="center" vertical="center"/>
    </xf>
    <xf numFmtId="164" fontId="23" fillId="2" borderId="13" xfId="5" applyNumberFormat="1" applyFont="1" applyFill="1" applyBorder="1" applyAlignment="1" applyProtection="1">
      <alignment horizontal="center" vertical="center" wrapText="1"/>
    </xf>
    <xf numFmtId="0" fontId="23" fillId="4" borderId="2" xfId="5" applyNumberFormat="1" applyFont="1" applyFill="1" applyBorder="1" applyAlignment="1" applyProtection="1">
      <alignment horizontal="center" vertical="center"/>
    </xf>
    <xf numFmtId="0" fontId="23" fillId="4" borderId="16" xfId="5" applyNumberFormat="1" applyFont="1" applyFill="1" applyBorder="1" applyAlignment="1" applyProtection="1">
      <alignment horizontal="center" vertical="center"/>
    </xf>
    <xf numFmtId="0" fontId="23" fillId="4" borderId="8" xfId="5" applyNumberFormat="1" applyFont="1" applyFill="1" applyBorder="1" applyAlignment="1" applyProtection="1">
      <alignment horizontal="center" vertical="center"/>
    </xf>
    <xf numFmtId="0" fontId="23" fillId="4" borderId="9" xfId="5" applyNumberFormat="1" applyFont="1" applyFill="1" applyBorder="1" applyAlignment="1" applyProtection="1">
      <alignment horizontal="center" vertical="center"/>
    </xf>
    <xf numFmtId="0" fontId="23" fillId="4" borderId="17" xfId="5" applyNumberFormat="1" applyFont="1" applyFill="1" applyBorder="1" applyAlignment="1" applyProtection="1">
      <alignment horizontal="center" vertical="center"/>
    </xf>
    <xf numFmtId="0" fontId="23" fillId="4" borderId="14" xfId="5" applyNumberFormat="1" applyFont="1" applyFill="1" applyBorder="1" applyAlignment="1" applyProtection="1">
      <alignment horizontal="center" vertical="center"/>
    </xf>
    <xf numFmtId="0" fontId="23" fillId="4" borderId="15" xfId="5" applyNumberFormat="1" applyFont="1" applyFill="1" applyBorder="1" applyAlignment="1" applyProtection="1">
      <alignment horizontal="center" vertical="center"/>
    </xf>
    <xf numFmtId="0" fontId="20" fillId="0" borderId="6" xfId="5" applyNumberFormat="1" applyFont="1" applyFill="1" applyBorder="1" applyAlignment="1" applyProtection="1">
      <alignment horizontal="center" vertical="center"/>
    </xf>
    <xf numFmtId="0" fontId="31" fillId="0" borderId="6" xfId="0" applyFont="1" applyBorder="1" applyAlignment="1" applyProtection="1">
      <alignment horizontal="center" vertical="center" wrapText="1"/>
      <protection hidden="1"/>
    </xf>
    <xf numFmtId="0" fontId="31" fillId="0" borderId="6" xfId="0" applyFont="1" applyBorder="1" applyAlignment="1" applyProtection="1">
      <alignment horizontal="center" vertical="center"/>
      <protection hidden="1"/>
    </xf>
    <xf numFmtId="166" fontId="21" fillId="0" borderId="6" xfId="1" applyNumberFormat="1" applyFont="1" applyBorder="1" applyAlignment="1">
      <alignment horizontal="center" vertical="center"/>
    </xf>
    <xf numFmtId="164" fontId="21" fillId="0" borderId="6" xfId="1" applyNumberFormat="1" applyFont="1" applyBorder="1" applyAlignment="1">
      <alignment horizontal="center" vertical="center"/>
    </xf>
    <xf numFmtId="0" fontId="20" fillId="0" borderId="1" xfId="5" applyNumberFormat="1" applyFont="1" applyFill="1" applyBorder="1" applyAlignment="1" applyProtection="1">
      <alignment horizontal="center" vertical="center"/>
    </xf>
    <xf numFmtId="0" fontId="31" fillId="0" borderId="1" xfId="0" applyFont="1" applyBorder="1" applyAlignment="1" applyProtection="1">
      <alignment horizontal="center" vertical="center" wrapText="1"/>
      <protection hidden="1"/>
    </xf>
    <xf numFmtId="0" fontId="31" fillId="0" borderId="1" xfId="0" applyFont="1" applyBorder="1" applyAlignment="1" applyProtection="1">
      <alignment horizontal="center" vertical="center"/>
      <protection hidden="1"/>
    </xf>
    <xf numFmtId="0" fontId="32" fillId="0" borderId="1" xfId="0" applyFont="1" applyBorder="1" applyAlignment="1" applyProtection="1">
      <alignment horizontal="center" vertical="center" wrapText="1"/>
      <protection hidden="1"/>
    </xf>
    <xf numFmtId="0" fontId="31" fillId="0" borderId="1" xfId="0" applyFont="1" applyBorder="1" applyAlignment="1">
      <alignment horizontal="center" vertical="center"/>
    </xf>
    <xf numFmtId="0" fontId="31" fillId="0" borderId="1" xfId="0" applyFont="1" applyBorder="1" applyAlignment="1">
      <alignment horizontal="center" vertical="center" wrapText="1"/>
    </xf>
    <xf numFmtId="0" fontId="31" fillId="0" borderId="5" xfId="0" applyFont="1" applyBorder="1" applyAlignment="1">
      <alignment horizontal="center" vertical="center" wrapText="1"/>
    </xf>
    <xf numFmtId="0" fontId="31" fillId="0" borderId="5" xfId="0" applyFont="1" applyBorder="1" applyAlignment="1">
      <alignment horizontal="center" vertical="center"/>
    </xf>
    <xf numFmtId="0" fontId="25" fillId="4" borderId="7" xfId="0" applyFont="1" applyFill="1" applyBorder="1" applyAlignment="1">
      <alignment horizontal="center" vertical="center"/>
    </xf>
    <xf numFmtId="0" fontId="25" fillId="4" borderId="8" xfId="0" applyFont="1" applyFill="1" applyBorder="1" applyAlignment="1">
      <alignment horizontal="center" vertical="center"/>
    </xf>
    <xf numFmtId="0" fontId="25" fillId="4" borderId="10" xfId="0" applyFont="1" applyFill="1" applyBorder="1" applyAlignment="1">
      <alignment horizontal="center" vertical="center"/>
    </xf>
    <xf numFmtId="164" fontId="23" fillId="4" borderId="2" xfId="5" applyNumberFormat="1" applyFont="1" applyFill="1" applyBorder="1" applyAlignment="1" applyProtection="1">
      <alignment horizontal="center" vertical="center"/>
    </xf>
    <xf numFmtId="0" fontId="23" fillId="4" borderId="7" xfId="5" applyNumberFormat="1" applyFont="1" applyFill="1" applyBorder="1" applyAlignment="1" applyProtection="1">
      <alignment horizontal="center" vertical="center"/>
    </xf>
    <xf numFmtId="0" fontId="21" fillId="0" borderId="6" xfId="0" applyFont="1" applyBorder="1" applyAlignment="1">
      <alignment horizontal="center" vertical="center"/>
    </xf>
    <xf numFmtId="165" fontId="21" fillId="0" borderId="6" xfId="0" applyNumberFormat="1" applyFont="1" applyBorder="1" applyAlignment="1">
      <alignment horizontal="center" vertical="center"/>
    </xf>
    <xf numFmtId="166" fontId="21" fillId="0" borderId="6" xfId="0" applyNumberFormat="1" applyFont="1" applyBorder="1" applyAlignment="1">
      <alignment horizontal="center" vertical="center"/>
    </xf>
    <xf numFmtId="164" fontId="21" fillId="0" borderId="6" xfId="0" applyNumberFormat="1" applyFont="1" applyBorder="1" applyAlignment="1">
      <alignment horizontal="center" vertical="center"/>
    </xf>
    <xf numFmtId="166" fontId="21" fillId="0" borderId="1" xfId="0" applyNumberFormat="1" applyFont="1" applyBorder="1" applyAlignment="1">
      <alignment horizontal="center" vertical="center"/>
    </xf>
    <xf numFmtId="164" fontId="21" fillId="0" borderId="1" xfId="0" applyNumberFormat="1" applyFont="1" applyBorder="1" applyAlignment="1">
      <alignment horizontal="center" vertical="center"/>
    </xf>
    <xf numFmtId="0" fontId="30" fillId="4" borderId="1" xfId="0" applyFont="1" applyFill="1" applyBorder="1" applyAlignment="1">
      <alignment horizontal="center" vertical="center"/>
    </xf>
    <xf numFmtId="164" fontId="30" fillId="4" borderId="1" xfId="0" applyNumberFormat="1" applyFont="1" applyFill="1" applyBorder="1" applyAlignment="1">
      <alignment horizontal="center" vertical="center"/>
    </xf>
    <xf numFmtId="0" fontId="30" fillId="5" borderId="1" xfId="0" applyFont="1" applyFill="1" applyBorder="1" applyAlignment="1">
      <alignment horizontal="center" vertical="center"/>
    </xf>
    <xf numFmtId="164" fontId="30" fillId="5" borderId="1" xfId="0" applyNumberFormat="1" applyFont="1" applyFill="1" applyBorder="1" applyAlignment="1">
      <alignment horizontal="center" vertical="center"/>
    </xf>
    <xf numFmtId="0" fontId="24" fillId="0" borderId="0" xfId="0" applyFont="1" applyAlignment="1">
      <alignment horizontal="center" vertical="center"/>
    </xf>
    <xf numFmtId="165" fontId="24" fillId="0" borderId="0" xfId="0" applyNumberFormat="1" applyFont="1" applyAlignment="1">
      <alignment horizontal="center" vertical="center"/>
    </xf>
    <xf numFmtId="166" fontId="24" fillId="0" borderId="0" xfId="0" applyNumberFormat="1" applyFont="1" applyAlignment="1">
      <alignment horizontal="center" vertical="center"/>
    </xf>
    <xf numFmtId="164" fontId="24" fillId="0" borderId="0" xfId="0" applyNumberFormat="1" applyFont="1" applyAlignment="1">
      <alignment horizontal="center" vertical="center"/>
    </xf>
    <xf numFmtId="0" fontId="25" fillId="5" borderId="3" xfId="0" applyFont="1" applyFill="1" applyBorder="1" applyAlignment="1">
      <alignment horizontal="center" vertical="center"/>
    </xf>
    <xf numFmtId="0" fontId="25" fillId="5" borderId="4" xfId="0" applyFont="1" applyFill="1" applyBorder="1" applyAlignment="1">
      <alignment horizontal="center" vertical="center"/>
    </xf>
    <xf numFmtId="0" fontId="25" fillId="5" borderId="18" xfId="0" applyFont="1" applyFill="1" applyBorder="1" applyAlignment="1">
      <alignment horizontal="center" vertical="center"/>
    </xf>
    <xf numFmtId="164" fontId="25" fillId="5" borderId="2" xfId="0" applyNumberFormat="1" applyFont="1" applyFill="1" applyBorder="1" applyAlignment="1">
      <alignment horizontal="center" vertical="center"/>
    </xf>
  </cellXfs>
  <cellStyles count="10">
    <cellStyle name="Excel Built-in Normal" xfId="2"/>
    <cellStyle name="Moeda" xfId="1" builtinId="4"/>
    <cellStyle name="Normal" xfId="0" builtinId="0"/>
    <cellStyle name="Normal 2" xfId="3"/>
    <cellStyle name="Normal 3" xfId="4"/>
    <cellStyle name="Normal 4" xfId="5"/>
    <cellStyle name="Porcentagem 10 2 2" xfId="6"/>
    <cellStyle name="Porcentagem 2" xfId="8"/>
    <cellStyle name="Separador de milhares 10 2" xfId="7"/>
    <cellStyle name="Vírgula 2" xfId="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495300</xdr:colOff>
      <xdr:row>24</xdr:row>
      <xdr:rowOff>47625</xdr:rowOff>
    </xdr:from>
    <xdr:to>
      <xdr:col>1</xdr:col>
      <xdr:colOff>541019</xdr:colOff>
      <xdr:row>24</xdr:row>
      <xdr:rowOff>428625</xdr:rowOff>
    </xdr:to>
    <xdr:sp macro="" textlink="">
      <xdr:nvSpPr>
        <xdr:cNvPr id="2" name="Chave direita 1">
          <a:extLst>
            <a:ext uri="{FF2B5EF4-FFF2-40B4-BE49-F238E27FC236}">
              <a16:creationId xmlns="" xmlns:a16="http://schemas.microsoft.com/office/drawing/2014/main" id="{2B99CD7E-A359-44EC-8743-D5D948E95488}"/>
            </a:ext>
          </a:extLst>
        </xdr:cNvPr>
        <xdr:cNvSpPr/>
      </xdr:nvSpPr>
      <xdr:spPr>
        <a:xfrm flipH="1">
          <a:off x="584200" y="4638675"/>
          <a:ext cx="26669" cy="381000"/>
        </a:xfrm>
        <a:prstGeom prst="rightBrace">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pt-BR" sz="1100">
            <a:solidFill>
              <a:sysClr val="windowText" lastClr="000000"/>
            </a:solidFill>
          </a:endParaRPr>
        </a:p>
      </xdr:txBody>
    </xdr:sp>
    <xdr:clientData/>
  </xdr:twoCellAnchor>
  <xdr:twoCellAnchor>
    <xdr:from>
      <xdr:col>2</xdr:col>
      <xdr:colOff>2601791</xdr:colOff>
      <xdr:row>24</xdr:row>
      <xdr:rowOff>58616</xdr:rowOff>
    </xdr:from>
    <xdr:to>
      <xdr:col>2</xdr:col>
      <xdr:colOff>2647510</xdr:colOff>
      <xdr:row>24</xdr:row>
      <xdr:rowOff>439616</xdr:rowOff>
    </xdr:to>
    <xdr:sp macro="" textlink="">
      <xdr:nvSpPr>
        <xdr:cNvPr id="3" name="Chave direita 2">
          <a:extLst>
            <a:ext uri="{FF2B5EF4-FFF2-40B4-BE49-F238E27FC236}">
              <a16:creationId xmlns="" xmlns:a16="http://schemas.microsoft.com/office/drawing/2014/main" id="{B9629D58-8001-47D5-8F0B-E7C76515D654}"/>
            </a:ext>
          </a:extLst>
        </xdr:cNvPr>
        <xdr:cNvSpPr/>
      </xdr:nvSpPr>
      <xdr:spPr>
        <a:xfrm>
          <a:off x="3211391" y="4649666"/>
          <a:ext cx="45719" cy="381000"/>
        </a:xfrm>
        <a:prstGeom prst="rightBrace">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lang="pt-BR" sz="1100">
              <a:solidFill>
                <a:sysClr val="windowText" lastClr="000000"/>
              </a:solidFill>
            </a:rPr>
            <a:t>  </a:t>
          </a:r>
        </a:p>
      </xdr:txBody>
    </xdr:sp>
    <xdr:clientData/>
  </xdr:twoCellAnchor>
  <xdr:twoCellAnchor>
    <xdr:from>
      <xdr:col>1</xdr:col>
      <xdr:colOff>511907</xdr:colOff>
      <xdr:row>24</xdr:row>
      <xdr:rowOff>257175</xdr:rowOff>
    </xdr:from>
    <xdr:to>
      <xdr:col>2</xdr:col>
      <xdr:colOff>2524125</xdr:colOff>
      <xdr:row>24</xdr:row>
      <xdr:rowOff>260105</xdr:rowOff>
    </xdr:to>
    <xdr:cxnSp macro="">
      <xdr:nvCxnSpPr>
        <xdr:cNvPr id="4" name="Conector reto 3">
          <a:extLst>
            <a:ext uri="{FF2B5EF4-FFF2-40B4-BE49-F238E27FC236}">
              <a16:creationId xmlns="" xmlns:a16="http://schemas.microsoft.com/office/drawing/2014/main" id="{70EBB973-06F3-4664-AD80-06618DD3C0EE}"/>
            </a:ext>
          </a:extLst>
        </xdr:cNvPr>
        <xdr:cNvCxnSpPr/>
      </xdr:nvCxnSpPr>
      <xdr:spPr>
        <a:xfrm flipV="1">
          <a:off x="600807" y="4848225"/>
          <a:ext cx="2532918" cy="293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ivan.martins/Desktop/APUCARANA%202021/PROPOSTA/planilha%20apucarana%20202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planilha orçamentária"/>
      <sheetName val="BDI"/>
      <sheetName val="cornograma "/>
      <sheetName val="Plan2"/>
      <sheetName val="Plan3"/>
    </sheetNames>
    <sheetDataSet>
      <sheetData sheetId="0">
        <row r="79">
          <cell r="F79">
            <v>1999813.2</v>
          </cell>
        </row>
      </sheetData>
      <sheetData sheetId="1"/>
      <sheetData sheetId="2"/>
      <sheetData sheetId="3"/>
      <sheetData sheetId="4"/>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dimension ref="A1:F91"/>
  <sheetViews>
    <sheetView tabSelected="1" topLeftCell="A66" workbookViewId="0">
      <selection activeCell="F89" sqref="F89"/>
    </sheetView>
  </sheetViews>
  <sheetFormatPr defaultRowHeight="15"/>
  <cols>
    <col min="1" max="1" width="6" style="116" customWidth="1"/>
    <col min="2" max="2" width="13.140625" style="117" customWidth="1"/>
    <col min="3" max="3" width="9.42578125" style="118" customWidth="1"/>
    <col min="4" max="4" width="9" style="119" customWidth="1"/>
    <col min="5" max="5" width="12.42578125" style="120" bestFit="1" customWidth="1"/>
    <col min="6" max="6" width="20.28515625" style="121" customWidth="1"/>
  </cols>
  <sheetData>
    <row r="1" spans="1:6" ht="15.75" thickBot="1">
      <c r="A1" s="122" t="s">
        <v>246</v>
      </c>
      <c r="B1" s="123"/>
      <c r="C1" s="123"/>
      <c r="D1" s="123"/>
      <c r="E1" s="123"/>
      <c r="F1" s="124"/>
    </row>
    <row r="2" spans="1:6" ht="18">
      <c r="A2" s="125" t="s">
        <v>0</v>
      </c>
      <c r="B2" s="125" t="s">
        <v>1</v>
      </c>
      <c r="C2" s="126" t="s">
        <v>2</v>
      </c>
      <c r="D2" s="127" t="s">
        <v>3</v>
      </c>
      <c r="E2" s="128" t="s">
        <v>245</v>
      </c>
      <c r="F2" s="129" t="s">
        <v>11</v>
      </c>
    </row>
    <row r="3" spans="1:6">
      <c r="A3" s="130">
        <v>1</v>
      </c>
      <c r="B3" s="131" t="s">
        <v>4</v>
      </c>
      <c r="C3" s="131"/>
      <c r="D3" s="131"/>
      <c r="E3" s="131"/>
      <c r="F3" s="131"/>
    </row>
    <row r="4" spans="1:6" ht="54">
      <c r="A4" s="132" t="s">
        <v>5</v>
      </c>
      <c r="B4" s="133" t="s">
        <v>250</v>
      </c>
      <c r="C4" s="134" t="s">
        <v>12</v>
      </c>
      <c r="D4" s="135">
        <v>19400</v>
      </c>
      <c r="E4" s="136">
        <v>9.4</v>
      </c>
      <c r="F4" s="137">
        <f>D4*E4*12</f>
        <v>2188320</v>
      </c>
    </row>
    <row r="5" spans="1:6">
      <c r="A5" s="138" t="s">
        <v>13</v>
      </c>
      <c r="B5" s="139" t="s">
        <v>172</v>
      </c>
      <c r="C5" s="139" t="s">
        <v>7</v>
      </c>
      <c r="D5" s="140">
        <v>19400</v>
      </c>
      <c r="E5" s="141">
        <v>27</v>
      </c>
      <c r="F5" s="142">
        <f>D5*E5</f>
        <v>523800</v>
      </c>
    </row>
    <row r="6" spans="1:6" ht="15.75" thickBot="1">
      <c r="A6" s="143"/>
      <c r="B6" s="144" t="s">
        <v>14</v>
      </c>
      <c r="C6" s="144" t="s">
        <v>15</v>
      </c>
      <c r="D6" s="145">
        <v>12</v>
      </c>
      <c r="E6" s="146">
        <v>3750</v>
      </c>
      <c r="F6" s="147">
        <f>D6*E6</f>
        <v>45000</v>
      </c>
    </row>
    <row r="7" spans="1:6" ht="15.75" thickBot="1">
      <c r="A7" s="148" t="s">
        <v>170</v>
      </c>
      <c r="B7" s="149"/>
      <c r="C7" s="149"/>
      <c r="D7" s="149"/>
      <c r="E7" s="149"/>
      <c r="F7" s="150">
        <f>SUM(F4:F6)</f>
        <v>2757120</v>
      </c>
    </row>
    <row r="8" spans="1:6" ht="15.75" thickBot="1">
      <c r="A8" s="151">
        <v>2</v>
      </c>
      <c r="B8" s="152" t="s">
        <v>95</v>
      </c>
      <c r="C8" s="153"/>
      <c r="D8" s="153"/>
      <c r="E8" s="153"/>
      <c r="F8" s="154"/>
    </row>
    <row r="9" spans="1:6" ht="15.75" thickBot="1">
      <c r="A9" s="151" t="s">
        <v>6</v>
      </c>
      <c r="B9" s="155" t="s">
        <v>174</v>
      </c>
      <c r="C9" s="156"/>
      <c r="D9" s="156"/>
      <c r="E9" s="156"/>
      <c r="F9" s="157"/>
    </row>
    <row r="10" spans="1:6" ht="107.25">
      <c r="A10" s="158" t="s">
        <v>96</v>
      </c>
      <c r="B10" s="159" t="s">
        <v>16</v>
      </c>
      <c r="C10" s="160" t="s">
        <v>27</v>
      </c>
      <c r="D10" s="160">
        <f>16+2</f>
        <v>18</v>
      </c>
      <c r="E10" s="161">
        <v>3600</v>
      </c>
      <c r="F10" s="162">
        <f>D10*E10</f>
        <v>64800</v>
      </c>
    </row>
    <row r="11" spans="1:6" ht="87.75">
      <c r="A11" s="163" t="s">
        <v>97</v>
      </c>
      <c r="B11" s="164" t="s">
        <v>17</v>
      </c>
      <c r="C11" s="165" t="s">
        <v>27</v>
      </c>
      <c r="D11" s="165">
        <f>8+2</f>
        <v>10</v>
      </c>
      <c r="E11" s="141">
        <v>3542</v>
      </c>
      <c r="F11" s="142">
        <f t="shared" ref="F11:F66" si="0">D11*E11</f>
        <v>35420</v>
      </c>
    </row>
    <row r="12" spans="1:6" ht="107.25">
      <c r="A12" s="163" t="s">
        <v>98</v>
      </c>
      <c r="B12" s="164" t="s">
        <v>18</v>
      </c>
      <c r="C12" s="165" t="s">
        <v>27</v>
      </c>
      <c r="D12" s="165">
        <f>8+2</f>
        <v>10</v>
      </c>
      <c r="E12" s="141">
        <v>3520</v>
      </c>
      <c r="F12" s="142">
        <f t="shared" si="0"/>
        <v>35200</v>
      </c>
    </row>
    <row r="13" spans="1:6" ht="68.25">
      <c r="A13" s="163" t="s">
        <v>99</v>
      </c>
      <c r="B13" s="164" t="s">
        <v>178</v>
      </c>
      <c r="C13" s="165" t="s">
        <v>27</v>
      </c>
      <c r="D13" s="165">
        <f>43+2</f>
        <v>45</v>
      </c>
      <c r="E13" s="141">
        <v>3203</v>
      </c>
      <c r="F13" s="142">
        <f t="shared" si="0"/>
        <v>144135</v>
      </c>
    </row>
    <row r="14" spans="1:6" ht="68.25">
      <c r="A14" s="163" t="s">
        <v>100</v>
      </c>
      <c r="B14" s="164" t="s">
        <v>179</v>
      </c>
      <c r="C14" s="165" t="s">
        <v>27</v>
      </c>
      <c r="D14" s="165">
        <f>8+2</f>
        <v>10</v>
      </c>
      <c r="E14" s="141">
        <v>2600</v>
      </c>
      <c r="F14" s="142">
        <f t="shared" si="0"/>
        <v>26000</v>
      </c>
    </row>
    <row r="15" spans="1:6" ht="58.5">
      <c r="A15" s="163" t="s">
        <v>101</v>
      </c>
      <c r="B15" s="164" t="s">
        <v>180</v>
      </c>
      <c r="C15" s="165" t="s">
        <v>27</v>
      </c>
      <c r="D15" s="165">
        <v>6</v>
      </c>
      <c r="E15" s="141">
        <v>490</v>
      </c>
      <c r="F15" s="142">
        <f t="shared" si="0"/>
        <v>2940</v>
      </c>
    </row>
    <row r="16" spans="1:6" ht="68.25">
      <c r="A16" s="163" t="s">
        <v>102</v>
      </c>
      <c r="B16" s="164" t="s">
        <v>19</v>
      </c>
      <c r="C16" s="165" t="s">
        <v>28</v>
      </c>
      <c r="D16" s="165">
        <f>D10+D11+D12+D15-6</f>
        <v>38</v>
      </c>
      <c r="E16" s="141">
        <v>300</v>
      </c>
      <c r="F16" s="142">
        <f t="shared" si="0"/>
        <v>11400</v>
      </c>
    </row>
    <row r="17" spans="1:6" ht="165.75">
      <c r="A17" s="163" t="s">
        <v>103</v>
      </c>
      <c r="B17" s="164" t="s">
        <v>20</v>
      </c>
      <c r="C17" s="165" t="s">
        <v>27</v>
      </c>
      <c r="D17" s="165">
        <f>D16</f>
        <v>38</v>
      </c>
      <c r="E17" s="141">
        <v>370</v>
      </c>
      <c r="F17" s="142">
        <f t="shared" si="0"/>
        <v>14060</v>
      </c>
    </row>
    <row r="18" spans="1:6" ht="87.75">
      <c r="A18" s="163" t="s">
        <v>104</v>
      </c>
      <c r="B18" s="164" t="s">
        <v>181</v>
      </c>
      <c r="C18" s="165" t="s">
        <v>27</v>
      </c>
      <c r="D18" s="165">
        <v>10</v>
      </c>
      <c r="E18" s="141">
        <v>57</v>
      </c>
      <c r="F18" s="142">
        <f t="shared" si="0"/>
        <v>570</v>
      </c>
    </row>
    <row r="19" spans="1:6">
      <c r="A19" s="163" t="s">
        <v>105</v>
      </c>
      <c r="B19" s="164" t="s">
        <v>21</v>
      </c>
      <c r="C19" s="165" t="s">
        <v>8</v>
      </c>
      <c r="D19" s="165">
        <v>200</v>
      </c>
      <c r="E19" s="141">
        <v>11</v>
      </c>
      <c r="F19" s="142">
        <f t="shared" si="0"/>
        <v>2200</v>
      </c>
    </row>
    <row r="20" spans="1:6" ht="29.25">
      <c r="A20" s="163" t="s">
        <v>106</v>
      </c>
      <c r="B20" s="164" t="s">
        <v>22</v>
      </c>
      <c r="C20" s="165" t="s">
        <v>10</v>
      </c>
      <c r="D20" s="165">
        <f>100</f>
        <v>100</v>
      </c>
      <c r="E20" s="141">
        <v>87</v>
      </c>
      <c r="F20" s="142">
        <f t="shared" si="0"/>
        <v>8700</v>
      </c>
    </row>
    <row r="21" spans="1:6" ht="19.5">
      <c r="A21" s="163" t="s">
        <v>107</v>
      </c>
      <c r="B21" s="164" t="s">
        <v>23</v>
      </c>
      <c r="C21" s="165" t="s">
        <v>27</v>
      </c>
      <c r="D21" s="165">
        <v>4</v>
      </c>
      <c r="E21" s="141">
        <v>1476</v>
      </c>
      <c r="F21" s="142">
        <f t="shared" si="0"/>
        <v>5904</v>
      </c>
    </row>
    <row r="22" spans="1:6" ht="19.5">
      <c r="A22" s="163" t="s">
        <v>108</v>
      </c>
      <c r="B22" s="164" t="s">
        <v>24</v>
      </c>
      <c r="C22" s="165" t="s">
        <v>27</v>
      </c>
      <c r="D22" s="165">
        <v>1</v>
      </c>
      <c r="E22" s="141">
        <v>139</v>
      </c>
      <c r="F22" s="142">
        <f t="shared" si="0"/>
        <v>139</v>
      </c>
    </row>
    <row r="23" spans="1:6" ht="409.5">
      <c r="A23" s="163" t="s">
        <v>109</v>
      </c>
      <c r="B23" s="164" t="s">
        <v>244</v>
      </c>
      <c r="C23" s="165" t="s">
        <v>27</v>
      </c>
      <c r="D23" s="165">
        <v>1</v>
      </c>
      <c r="E23" s="141">
        <v>949</v>
      </c>
      <c r="F23" s="142">
        <f t="shared" si="0"/>
        <v>949</v>
      </c>
    </row>
    <row r="24" spans="1:6" ht="39">
      <c r="A24" s="163" t="s">
        <v>110</v>
      </c>
      <c r="B24" s="164" t="s">
        <v>25</v>
      </c>
      <c r="C24" s="165" t="s">
        <v>29</v>
      </c>
      <c r="D24" s="165">
        <v>88</v>
      </c>
      <c r="E24" s="141">
        <v>125</v>
      </c>
      <c r="F24" s="142">
        <f t="shared" si="0"/>
        <v>11000</v>
      </c>
    </row>
    <row r="25" spans="1:6" ht="29.25">
      <c r="A25" s="163" t="s">
        <v>111</v>
      </c>
      <c r="B25" s="164" t="s">
        <v>26</v>
      </c>
      <c r="C25" s="165" t="s">
        <v>29</v>
      </c>
      <c r="D25" s="165">
        <v>44</v>
      </c>
      <c r="E25" s="141">
        <v>125</v>
      </c>
      <c r="F25" s="142">
        <f t="shared" si="0"/>
        <v>5500</v>
      </c>
    </row>
    <row r="26" spans="1:6" ht="58.5">
      <c r="A26" s="163" t="s">
        <v>112</v>
      </c>
      <c r="B26" s="164" t="s">
        <v>30</v>
      </c>
      <c r="C26" s="165" t="s">
        <v>27</v>
      </c>
      <c r="D26" s="165">
        <v>2</v>
      </c>
      <c r="E26" s="141">
        <v>435</v>
      </c>
      <c r="F26" s="142">
        <f t="shared" si="0"/>
        <v>870</v>
      </c>
    </row>
    <row r="27" spans="1:6" ht="58.5">
      <c r="A27" s="163" t="s">
        <v>113</v>
      </c>
      <c r="B27" s="164" t="s">
        <v>31</v>
      </c>
      <c r="C27" s="165" t="s">
        <v>27</v>
      </c>
      <c r="D27" s="165">
        <v>2</v>
      </c>
      <c r="E27" s="141">
        <v>165</v>
      </c>
      <c r="F27" s="142">
        <f t="shared" si="0"/>
        <v>330</v>
      </c>
    </row>
    <row r="28" spans="1:6" ht="48.75">
      <c r="A28" s="163" t="s">
        <v>114</v>
      </c>
      <c r="B28" s="164" t="s">
        <v>32</v>
      </c>
      <c r="C28" s="165" t="s">
        <v>27</v>
      </c>
      <c r="D28" s="165">
        <v>6</v>
      </c>
      <c r="E28" s="141">
        <v>120</v>
      </c>
      <c r="F28" s="142">
        <f t="shared" si="0"/>
        <v>720</v>
      </c>
    </row>
    <row r="29" spans="1:6" ht="48.75">
      <c r="A29" s="163" t="s">
        <v>115</v>
      </c>
      <c r="B29" s="164" t="s">
        <v>33</v>
      </c>
      <c r="C29" s="165" t="s">
        <v>27</v>
      </c>
      <c r="D29" s="165">
        <v>8</v>
      </c>
      <c r="E29" s="141">
        <v>88</v>
      </c>
      <c r="F29" s="142">
        <f t="shared" si="0"/>
        <v>704</v>
      </c>
    </row>
    <row r="30" spans="1:6" ht="48.75">
      <c r="A30" s="163" t="s">
        <v>116</v>
      </c>
      <c r="B30" s="164" t="s">
        <v>34</v>
      </c>
      <c r="C30" s="165" t="s">
        <v>27</v>
      </c>
      <c r="D30" s="165">
        <v>8</v>
      </c>
      <c r="E30" s="141">
        <v>22</v>
      </c>
      <c r="F30" s="142">
        <f t="shared" si="0"/>
        <v>176</v>
      </c>
    </row>
    <row r="31" spans="1:6" ht="58.5">
      <c r="A31" s="163" t="s">
        <v>117</v>
      </c>
      <c r="B31" s="164" t="s">
        <v>35</v>
      </c>
      <c r="C31" s="165" t="s">
        <v>27</v>
      </c>
      <c r="D31" s="165">
        <v>4</v>
      </c>
      <c r="E31" s="141">
        <v>82</v>
      </c>
      <c r="F31" s="142">
        <f t="shared" si="0"/>
        <v>328</v>
      </c>
    </row>
    <row r="32" spans="1:6" ht="48.75">
      <c r="A32" s="163" t="s">
        <v>118</v>
      </c>
      <c r="B32" s="164" t="s">
        <v>36</v>
      </c>
      <c r="C32" s="165" t="s">
        <v>37</v>
      </c>
      <c r="D32" s="165">
        <v>2</v>
      </c>
      <c r="E32" s="141">
        <v>152</v>
      </c>
      <c r="F32" s="142">
        <f t="shared" si="0"/>
        <v>304</v>
      </c>
    </row>
    <row r="33" spans="1:6" ht="48.75">
      <c r="A33" s="163" t="s">
        <v>119</v>
      </c>
      <c r="B33" s="164" t="s">
        <v>38</v>
      </c>
      <c r="C33" s="165" t="s">
        <v>37</v>
      </c>
      <c r="D33" s="165">
        <v>6</v>
      </c>
      <c r="E33" s="141">
        <v>85</v>
      </c>
      <c r="F33" s="142">
        <f t="shared" si="0"/>
        <v>510</v>
      </c>
    </row>
    <row r="34" spans="1:6" ht="48.75">
      <c r="A34" s="163" t="s">
        <v>120</v>
      </c>
      <c r="B34" s="164" t="s">
        <v>39</v>
      </c>
      <c r="C34" s="165" t="s">
        <v>37</v>
      </c>
      <c r="D34" s="165">
        <v>2</v>
      </c>
      <c r="E34" s="141">
        <v>175</v>
      </c>
      <c r="F34" s="142">
        <f t="shared" si="0"/>
        <v>350</v>
      </c>
    </row>
    <row r="35" spans="1:6" ht="48.75">
      <c r="A35" s="163" t="s">
        <v>121</v>
      </c>
      <c r="B35" s="164" t="s">
        <v>40</v>
      </c>
      <c r="C35" s="165" t="s">
        <v>37</v>
      </c>
      <c r="D35" s="165">
        <v>6</v>
      </c>
      <c r="E35" s="141">
        <v>80</v>
      </c>
      <c r="F35" s="142">
        <f t="shared" si="0"/>
        <v>480</v>
      </c>
    </row>
    <row r="36" spans="1:6" ht="78">
      <c r="A36" s="163" t="s">
        <v>122</v>
      </c>
      <c r="B36" s="164" t="s">
        <v>41</v>
      </c>
      <c r="C36" s="165" t="s">
        <v>42</v>
      </c>
      <c r="D36" s="165">
        <v>46</v>
      </c>
      <c r="E36" s="141">
        <v>173</v>
      </c>
      <c r="F36" s="142">
        <f t="shared" si="0"/>
        <v>7958</v>
      </c>
    </row>
    <row r="37" spans="1:6" ht="58.5">
      <c r="A37" s="163" t="s">
        <v>123</v>
      </c>
      <c r="B37" s="166" t="s">
        <v>43</v>
      </c>
      <c r="C37" s="165" t="s">
        <v>10</v>
      </c>
      <c r="D37" s="165">
        <v>62</v>
      </c>
      <c r="E37" s="141">
        <v>18</v>
      </c>
      <c r="F37" s="142">
        <f t="shared" si="0"/>
        <v>1116</v>
      </c>
    </row>
    <row r="38" spans="1:6" ht="68.25">
      <c r="A38" s="163" t="s">
        <v>124</v>
      </c>
      <c r="B38" s="164" t="s">
        <v>44</v>
      </c>
      <c r="C38" s="165" t="s">
        <v>8</v>
      </c>
      <c r="D38" s="165">
        <v>100</v>
      </c>
      <c r="E38" s="141">
        <v>38</v>
      </c>
      <c r="F38" s="142">
        <f t="shared" si="0"/>
        <v>3800</v>
      </c>
    </row>
    <row r="39" spans="1:6" ht="29.25">
      <c r="A39" s="163" t="s">
        <v>125</v>
      </c>
      <c r="B39" s="164" t="s">
        <v>45</v>
      </c>
      <c r="C39" s="165" t="s">
        <v>27</v>
      </c>
      <c r="D39" s="165">
        <v>24</v>
      </c>
      <c r="E39" s="141">
        <v>39</v>
      </c>
      <c r="F39" s="142">
        <f t="shared" si="0"/>
        <v>936</v>
      </c>
    </row>
    <row r="40" spans="1:6" ht="29.25">
      <c r="A40" s="163" t="s">
        <v>126</v>
      </c>
      <c r="B40" s="164" t="s">
        <v>46</v>
      </c>
      <c r="C40" s="165" t="s">
        <v>27</v>
      </c>
      <c r="D40" s="165">
        <v>2</v>
      </c>
      <c r="E40" s="141">
        <v>85</v>
      </c>
      <c r="F40" s="142">
        <f t="shared" si="0"/>
        <v>170</v>
      </c>
    </row>
    <row r="41" spans="1:6" ht="29.25">
      <c r="A41" s="163" t="s">
        <v>127</v>
      </c>
      <c r="B41" s="164" t="s">
        <v>47</v>
      </c>
      <c r="C41" s="165" t="s">
        <v>8</v>
      </c>
      <c r="D41" s="165">
        <f>12*15+50*4+20</f>
        <v>400</v>
      </c>
      <c r="E41" s="141">
        <v>11</v>
      </c>
      <c r="F41" s="142">
        <f t="shared" si="0"/>
        <v>4400</v>
      </c>
    </row>
    <row r="42" spans="1:6" ht="39">
      <c r="A42" s="163" t="s">
        <v>128</v>
      </c>
      <c r="B42" s="164" t="s">
        <v>48</v>
      </c>
      <c r="C42" s="165" t="s">
        <v>8</v>
      </c>
      <c r="D42" s="165">
        <f>250*4</f>
        <v>1000</v>
      </c>
      <c r="E42" s="141">
        <v>15</v>
      </c>
      <c r="F42" s="142">
        <f t="shared" si="0"/>
        <v>15000</v>
      </c>
    </row>
    <row r="43" spans="1:6" ht="107.25">
      <c r="A43" s="163" t="s">
        <v>129</v>
      </c>
      <c r="B43" s="164" t="s">
        <v>49</v>
      </c>
      <c r="C43" s="165" t="s">
        <v>8</v>
      </c>
      <c r="D43" s="165">
        <f>55*2</f>
        <v>110</v>
      </c>
      <c r="E43" s="141">
        <v>21</v>
      </c>
      <c r="F43" s="142">
        <f t="shared" si="0"/>
        <v>2310</v>
      </c>
    </row>
    <row r="44" spans="1:6" ht="107.25">
      <c r="A44" s="163" t="s">
        <v>130</v>
      </c>
      <c r="B44" s="164" t="s">
        <v>50</v>
      </c>
      <c r="C44" s="165" t="s">
        <v>8</v>
      </c>
      <c r="D44" s="165">
        <f>15+55*3*2</f>
        <v>345</v>
      </c>
      <c r="E44" s="141">
        <v>23</v>
      </c>
      <c r="F44" s="142">
        <f t="shared" si="0"/>
        <v>7935</v>
      </c>
    </row>
    <row r="45" spans="1:6" ht="107.25">
      <c r="A45" s="163" t="s">
        <v>131</v>
      </c>
      <c r="B45" s="164" t="s">
        <v>51</v>
      </c>
      <c r="C45" s="165" t="s">
        <v>8</v>
      </c>
      <c r="D45" s="165">
        <f>15*4</f>
        <v>60</v>
      </c>
      <c r="E45" s="141">
        <v>39</v>
      </c>
      <c r="F45" s="142">
        <f t="shared" si="0"/>
        <v>2340</v>
      </c>
    </row>
    <row r="46" spans="1:6" ht="48.75">
      <c r="A46" s="163" t="s">
        <v>132</v>
      </c>
      <c r="B46" s="166" t="s">
        <v>52</v>
      </c>
      <c r="C46" s="165" t="s">
        <v>8</v>
      </c>
      <c r="D46" s="165">
        <v>9</v>
      </c>
      <c r="E46" s="141">
        <v>16</v>
      </c>
      <c r="F46" s="142">
        <f t="shared" si="0"/>
        <v>144</v>
      </c>
    </row>
    <row r="47" spans="1:6" ht="19.5">
      <c r="A47" s="163" t="s">
        <v>133</v>
      </c>
      <c r="B47" s="166" t="s">
        <v>53</v>
      </c>
      <c r="C47" s="165" t="s">
        <v>10</v>
      </c>
      <c r="D47" s="165">
        <v>4</v>
      </c>
      <c r="E47" s="141">
        <v>2.65</v>
      </c>
      <c r="F47" s="142">
        <f t="shared" si="0"/>
        <v>10.6</v>
      </c>
    </row>
    <row r="48" spans="1:6" ht="19.5">
      <c r="A48" s="163" t="s">
        <v>134</v>
      </c>
      <c r="B48" s="166" t="s">
        <v>54</v>
      </c>
      <c r="C48" s="165" t="s">
        <v>27</v>
      </c>
      <c r="D48" s="165">
        <v>30</v>
      </c>
      <c r="E48" s="141">
        <v>4.75</v>
      </c>
      <c r="F48" s="142">
        <f t="shared" si="0"/>
        <v>142.5</v>
      </c>
    </row>
    <row r="49" spans="1:6" ht="39">
      <c r="A49" s="163" t="s">
        <v>135</v>
      </c>
      <c r="B49" s="166" t="s">
        <v>55</v>
      </c>
      <c r="C49" s="165" t="s">
        <v>73</v>
      </c>
      <c r="D49" s="165">
        <v>1</v>
      </c>
      <c r="E49" s="141">
        <v>132</v>
      </c>
      <c r="F49" s="142">
        <f t="shared" si="0"/>
        <v>132</v>
      </c>
    </row>
    <row r="50" spans="1:6" ht="29.25">
      <c r="A50" s="163" t="s">
        <v>136</v>
      </c>
      <c r="B50" s="166" t="s">
        <v>56</v>
      </c>
      <c r="C50" s="165" t="s">
        <v>73</v>
      </c>
      <c r="D50" s="165">
        <v>50</v>
      </c>
      <c r="E50" s="141">
        <v>41</v>
      </c>
      <c r="F50" s="142">
        <f t="shared" si="0"/>
        <v>2050</v>
      </c>
    </row>
    <row r="51" spans="1:6" ht="19.5">
      <c r="A51" s="163" t="s">
        <v>137</v>
      </c>
      <c r="B51" s="166" t="s">
        <v>57</v>
      </c>
      <c r="C51" s="165" t="s">
        <v>73</v>
      </c>
      <c r="D51" s="165">
        <v>50</v>
      </c>
      <c r="E51" s="141">
        <v>32</v>
      </c>
      <c r="F51" s="142">
        <f t="shared" si="0"/>
        <v>1600</v>
      </c>
    </row>
    <row r="52" spans="1:6" ht="19.5">
      <c r="A52" s="163" t="s">
        <v>138</v>
      </c>
      <c r="B52" s="166" t="s">
        <v>58</v>
      </c>
      <c r="C52" s="165" t="s">
        <v>74</v>
      </c>
      <c r="D52" s="165">
        <f>(250+30)*0.45</f>
        <v>126</v>
      </c>
      <c r="E52" s="141">
        <v>43</v>
      </c>
      <c r="F52" s="142">
        <f t="shared" si="0"/>
        <v>5418</v>
      </c>
    </row>
    <row r="53" spans="1:6" ht="48.75">
      <c r="A53" s="163" t="s">
        <v>139</v>
      </c>
      <c r="B53" s="166" t="s">
        <v>59</v>
      </c>
      <c r="C53" s="165" t="s">
        <v>74</v>
      </c>
      <c r="D53" s="165">
        <f>(30)*0.35</f>
        <v>10.5</v>
      </c>
      <c r="E53" s="141">
        <v>36</v>
      </c>
      <c r="F53" s="142">
        <f t="shared" si="0"/>
        <v>378</v>
      </c>
    </row>
    <row r="54" spans="1:6" ht="78">
      <c r="A54" s="163" t="s">
        <v>140</v>
      </c>
      <c r="B54" s="166" t="s">
        <v>60</v>
      </c>
      <c r="C54" s="165" t="s">
        <v>74</v>
      </c>
      <c r="D54" s="165">
        <f>(30)*0.35</f>
        <v>10.5</v>
      </c>
      <c r="E54" s="141">
        <v>21</v>
      </c>
      <c r="F54" s="142">
        <f t="shared" si="0"/>
        <v>220.5</v>
      </c>
    </row>
    <row r="55" spans="1:6" ht="19.5">
      <c r="A55" s="163" t="s">
        <v>141</v>
      </c>
      <c r="B55" s="166" t="s">
        <v>61</v>
      </c>
      <c r="C55" s="165" t="s">
        <v>74</v>
      </c>
      <c r="D55" s="165">
        <f>(35*2+15)*0.35</f>
        <v>29.749999999999996</v>
      </c>
      <c r="E55" s="141">
        <v>8</v>
      </c>
      <c r="F55" s="142">
        <f t="shared" si="0"/>
        <v>237.99999999999997</v>
      </c>
    </row>
    <row r="56" spans="1:6" ht="19.5">
      <c r="A56" s="163" t="s">
        <v>142</v>
      </c>
      <c r="B56" s="166" t="s">
        <v>62</v>
      </c>
      <c r="C56" s="165" t="s">
        <v>75</v>
      </c>
      <c r="D56" s="165">
        <f>(D52+D55)*0.5</f>
        <v>77.875</v>
      </c>
      <c r="E56" s="141">
        <v>120</v>
      </c>
      <c r="F56" s="142">
        <f t="shared" si="0"/>
        <v>9345</v>
      </c>
    </row>
    <row r="57" spans="1:6" ht="29.25">
      <c r="A57" s="163" t="s">
        <v>143</v>
      </c>
      <c r="B57" s="166" t="s">
        <v>63</v>
      </c>
      <c r="C57" s="165" t="s">
        <v>75</v>
      </c>
      <c r="D57" s="165">
        <f>D56</f>
        <v>77.875</v>
      </c>
      <c r="E57" s="141">
        <v>66</v>
      </c>
      <c r="F57" s="142">
        <f t="shared" si="0"/>
        <v>5139.75</v>
      </c>
    </row>
    <row r="58" spans="1:6" ht="19.5">
      <c r="A58" s="163" t="s">
        <v>144</v>
      </c>
      <c r="B58" s="166" t="s">
        <v>64</v>
      </c>
      <c r="C58" s="165" t="s">
        <v>74</v>
      </c>
      <c r="D58" s="165">
        <f>(35*2+15)*0.5</f>
        <v>42.5</v>
      </c>
      <c r="E58" s="141">
        <v>28</v>
      </c>
      <c r="F58" s="142">
        <f t="shared" si="0"/>
        <v>1190</v>
      </c>
    </row>
    <row r="59" spans="1:6" ht="68.25">
      <c r="A59" s="163" t="s">
        <v>145</v>
      </c>
      <c r="B59" s="166" t="s">
        <v>65</v>
      </c>
      <c r="C59" s="165" t="s">
        <v>74</v>
      </c>
      <c r="D59" s="165">
        <f>(135+115)*0.45</f>
        <v>112.5</v>
      </c>
      <c r="E59" s="141">
        <v>110</v>
      </c>
      <c r="F59" s="142">
        <f t="shared" si="0"/>
        <v>12375</v>
      </c>
    </row>
    <row r="60" spans="1:6" ht="68.25">
      <c r="A60" s="163" t="s">
        <v>146</v>
      </c>
      <c r="B60" s="166" t="s">
        <v>66</v>
      </c>
      <c r="C60" s="165" t="s">
        <v>75</v>
      </c>
      <c r="D60" s="165">
        <f>D54*0.3</f>
        <v>3.15</v>
      </c>
      <c r="E60" s="141">
        <v>725</v>
      </c>
      <c r="F60" s="142">
        <f t="shared" si="0"/>
        <v>2283.75</v>
      </c>
    </row>
    <row r="61" spans="1:6" ht="48.75">
      <c r="A61" s="163" t="s">
        <v>147</v>
      </c>
      <c r="B61" s="166" t="s">
        <v>67</v>
      </c>
      <c r="C61" s="165" t="s">
        <v>75</v>
      </c>
      <c r="D61" s="165">
        <f>D53*0.1</f>
        <v>1.05</v>
      </c>
      <c r="E61" s="141">
        <v>835</v>
      </c>
      <c r="F61" s="142">
        <f t="shared" si="0"/>
        <v>876.75</v>
      </c>
    </row>
    <row r="62" spans="1:6" ht="146.25">
      <c r="A62" s="163" t="s">
        <v>148</v>
      </c>
      <c r="B62" s="166" t="s">
        <v>68</v>
      </c>
      <c r="C62" s="165" t="s">
        <v>8</v>
      </c>
      <c r="D62" s="165">
        <f>135+115+100+50</f>
        <v>400</v>
      </c>
      <c r="E62" s="141">
        <v>39</v>
      </c>
      <c r="F62" s="142">
        <f t="shared" si="0"/>
        <v>15600</v>
      </c>
    </row>
    <row r="63" spans="1:6" ht="87.75">
      <c r="A63" s="163" t="s">
        <v>149</v>
      </c>
      <c r="B63" s="166" t="s">
        <v>69</v>
      </c>
      <c r="C63" s="165" t="s">
        <v>10</v>
      </c>
      <c r="D63" s="167">
        <v>14</v>
      </c>
      <c r="E63" s="141">
        <v>248</v>
      </c>
      <c r="F63" s="142">
        <f t="shared" si="0"/>
        <v>3472</v>
      </c>
    </row>
    <row r="64" spans="1:6" ht="48.75">
      <c r="A64" s="163" t="s">
        <v>150</v>
      </c>
      <c r="B64" s="168" t="s">
        <v>70</v>
      </c>
      <c r="C64" s="167" t="s">
        <v>8</v>
      </c>
      <c r="D64" s="167">
        <v>250</v>
      </c>
      <c r="E64" s="141">
        <v>35</v>
      </c>
      <c r="F64" s="142">
        <f t="shared" si="0"/>
        <v>8750</v>
      </c>
    </row>
    <row r="65" spans="1:6" ht="78">
      <c r="A65" s="163" t="s">
        <v>151</v>
      </c>
      <c r="B65" s="168" t="s">
        <v>71</v>
      </c>
      <c r="C65" s="167" t="s">
        <v>9</v>
      </c>
      <c r="D65" s="167">
        <v>12</v>
      </c>
      <c r="E65" s="141">
        <v>99</v>
      </c>
      <c r="F65" s="142">
        <f t="shared" si="0"/>
        <v>1188</v>
      </c>
    </row>
    <row r="66" spans="1:6" ht="20.25" thickBot="1">
      <c r="A66" s="163" t="s">
        <v>152</v>
      </c>
      <c r="B66" s="169" t="s">
        <v>72</v>
      </c>
      <c r="C66" s="170" t="s">
        <v>10</v>
      </c>
      <c r="D66" s="170">
        <v>24</v>
      </c>
      <c r="E66" s="146">
        <v>68</v>
      </c>
      <c r="F66" s="147">
        <f t="shared" si="0"/>
        <v>1632</v>
      </c>
    </row>
    <row r="67" spans="1:6" ht="15.75" thickBot="1">
      <c r="A67" s="171" t="s">
        <v>93</v>
      </c>
      <c r="B67" s="172"/>
      <c r="C67" s="172"/>
      <c r="D67" s="172"/>
      <c r="E67" s="173"/>
      <c r="F67" s="174">
        <f>SUM(F10:F66)</f>
        <v>491839.85</v>
      </c>
    </row>
    <row r="68" spans="1:6" ht="21.95" customHeight="1" thickBot="1">
      <c r="A68" s="151" t="s">
        <v>91</v>
      </c>
      <c r="B68" s="175" t="s">
        <v>249</v>
      </c>
      <c r="C68" s="153"/>
      <c r="D68" s="153"/>
      <c r="E68" s="153"/>
      <c r="F68" s="154"/>
    </row>
    <row r="69" spans="1:6">
      <c r="A69" s="176" t="s">
        <v>153</v>
      </c>
      <c r="B69" s="176" t="s">
        <v>76</v>
      </c>
      <c r="C69" s="176" t="s">
        <v>9</v>
      </c>
      <c r="D69" s="177">
        <v>120</v>
      </c>
      <c r="E69" s="178">
        <v>695</v>
      </c>
      <c r="F69" s="179">
        <f>D69*E69</f>
        <v>83400</v>
      </c>
    </row>
    <row r="70" spans="1:6">
      <c r="A70" s="176" t="s">
        <v>154</v>
      </c>
      <c r="B70" s="176" t="s">
        <v>248</v>
      </c>
      <c r="C70" s="176" t="s">
        <v>9</v>
      </c>
      <c r="D70" s="177">
        <v>533</v>
      </c>
      <c r="E70" s="178">
        <v>715</v>
      </c>
      <c r="F70" s="179">
        <f>D70*E70</f>
        <v>381095</v>
      </c>
    </row>
    <row r="71" spans="1:6">
      <c r="A71" s="176" t="s">
        <v>155</v>
      </c>
      <c r="B71" s="138" t="s">
        <v>77</v>
      </c>
      <c r="C71" s="138" t="s">
        <v>9</v>
      </c>
      <c r="D71" s="177">
        <v>2893</v>
      </c>
      <c r="E71" s="180">
        <v>1020</v>
      </c>
      <c r="F71" s="181">
        <f t="shared" ref="F71:F87" si="1">D71*E71</f>
        <v>2950860</v>
      </c>
    </row>
    <row r="72" spans="1:6">
      <c r="A72" s="176" t="s">
        <v>156</v>
      </c>
      <c r="B72" s="138" t="s">
        <v>78</v>
      </c>
      <c r="C72" s="138" t="s">
        <v>9</v>
      </c>
      <c r="D72" s="177">
        <v>361</v>
      </c>
      <c r="E72" s="180">
        <v>1120</v>
      </c>
      <c r="F72" s="181">
        <f t="shared" si="1"/>
        <v>404320</v>
      </c>
    </row>
    <row r="73" spans="1:6">
      <c r="A73" s="176" t="s">
        <v>157</v>
      </c>
      <c r="B73" s="138" t="s">
        <v>175</v>
      </c>
      <c r="C73" s="138" t="s">
        <v>9</v>
      </c>
      <c r="D73" s="140">
        <v>198</v>
      </c>
      <c r="E73" s="180">
        <v>1530</v>
      </c>
      <c r="F73" s="181">
        <f t="shared" si="1"/>
        <v>302940</v>
      </c>
    </row>
    <row r="74" spans="1:6">
      <c r="A74" s="176" t="s">
        <v>158</v>
      </c>
      <c r="B74" s="138" t="s">
        <v>173</v>
      </c>
      <c r="C74" s="138" t="s">
        <v>9</v>
      </c>
      <c r="D74" s="140">
        <v>150</v>
      </c>
      <c r="E74" s="180">
        <v>1689</v>
      </c>
      <c r="F74" s="181">
        <f t="shared" si="1"/>
        <v>253350</v>
      </c>
    </row>
    <row r="75" spans="1:6">
      <c r="A75" s="176" t="s">
        <v>159</v>
      </c>
      <c r="B75" s="138" t="s">
        <v>79</v>
      </c>
      <c r="C75" s="138" t="s">
        <v>9</v>
      </c>
      <c r="D75" s="140">
        <v>300</v>
      </c>
      <c r="E75" s="180">
        <v>850</v>
      </c>
      <c r="F75" s="181">
        <f t="shared" si="1"/>
        <v>255000</v>
      </c>
    </row>
    <row r="76" spans="1:6">
      <c r="A76" s="176" t="s">
        <v>160</v>
      </c>
      <c r="B76" s="138" t="s">
        <v>80</v>
      </c>
      <c r="C76" s="138" t="s">
        <v>9</v>
      </c>
      <c r="D76" s="140">
        <v>2</v>
      </c>
      <c r="E76" s="180">
        <v>8000</v>
      </c>
      <c r="F76" s="181">
        <f t="shared" si="1"/>
        <v>16000</v>
      </c>
    </row>
    <row r="77" spans="1:6">
      <c r="A77" s="176" t="s">
        <v>161</v>
      </c>
      <c r="B77" s="138" t="s">
        <v>81</v>
      </c>
      <c r="C77" s="138" t="s">
        <v>9</v>
      </c>
      <c r="D77" s="140">
        <v>7000</v>
      </c>
      <c r="E77" s="180">
        <v>1.45</v>
      </c>
      <c r="F77" s="181">
        <f t="shared" si="1"/>
        <v>10150</v>
      </c>
    </row>
    <row r="78" spans="1:6">
      <c r="A78" s="176" t="s">
        <v>162</v>
      </c>
      <c r="B78" s="138" t="s">
        <v>82</v>
      </c>
      <c r="C78" s="138" t="s">
        <v>9</v>
      </c>
      <c r="D78" s="140">
        <f>D71+D72</f>
        <v>3254</v>
      </c>
      <c r="E78" s="180">
        <v>245</v>
      </c>
      <c r="F78" s="181">
        <f t="shared" si="1"/>
        <v>797230</v>
      </c>
    </row>
    <row r="79" spans="1:6">
      <c r="A79" s="176" t="s">
        <v>163</v>
      </c>
      <c r="B79" s="138" t="s">
        <v>83</v>
      </c>
      <c r="C79" s="138" t="s">
        <v>9</v>
      </c>
      <c r="D79" s="140">
        <v>200</v>
      </c>
      <c r="E79" s="180">
        <v>422</v>
      </c>
      <c r="F79" s="181">
        <f t="shared" si="1"/>
        <v>84400</v>
      </c>
    </row>
    <row r="80" spans="1:6">
      <c r="A80" s="176" t="s">
        <v>164</v>
      </c>
      <c r="B80" s="138" t="s">
        <v>84</v>
      </c>
      <c r="C80" s="138" t="s">
        <v>9</v>
      </c>
      <c r="D80" s="140">
        <f>D69</f>
        <v>120</v>
      </c>
      <c r="E80" s="180">
        <v>150</v>
      </c>
      <c r="F80" s="181">
        <f t="shared" si="1"/>
        <v>18000</v>
      </c>
    </row>
    <row r="81" spans="1:6">
      <c r="A81" s="176" t="s">
        <v>165</v>
      </c>
      <c r="B81" s="138" t="s">
        <v>85</v>
      </c>
      <c r="C81" s="138" t="s">
        <v>9</v>
      </c>
      <c r="D81" s="140">
        <f>D69+D70+D71+D72+D73</f>
        <v>4105</v>
      </c>
      <c r="E81" s="180">
        <v>25</v>
      </c>
      <c r="F81" s="181">
        <f t="shared" si="1"/>
        <v>102625</v>
      </c>
    </row>
    <row r="82" spans="1:6">
      <c r="A82" s="176" t="s">
        <v>166</v>
      </c>
      <c r="B82" s="138" t="s">
        <v>86</v>
      </c>
      <c r="C82" s="138" t="s">
        <v>9</v>
      </c>
      <c r="D82" s="140">
        <f>(D78+D79+D80)*6</f>
        <v>21444</v>
      </c>
      <c r="E82" s="180">
        <v>9.9</v>
      </c>
      <c r="F82" s="181">
        <f t="shared" si="1"/>
        <v>212295.6</v>
      </c>
    </row>
    <row r="83" spans="1:6">
      <c r="A83" s="176" t="s">
        <v>167</v>
      </c>
      <c r="B83" s="138" t="s">
        <v>87</v>
      </c>
      <c r="C83" s="138" t="s">
        <v>9</v>
      </c>
      <c r="D83" s="140">
        <v>800</v>
      </c>
      <c r="E83" s="180">
        <v>9.65</v>
      </c>
      <c r="F83" s="181">
        <f t="shared" si="1"/>
        <v>7720</v>
      </c>
    </row>
    <row r="84" spans="1:6">
      <c r="A84" s="176" t="s">
        <v>168</v>
      </c>
      <c r="B84" s="138" t="s">
        <v>88</v>
      </c>
      <c r="C84" s="138" t="s">
        <v>9</v>
      </c>
      <c r="D84" s="140">
        <v>4000</v>
      </c>
      <c r="E84" s="180">
        <v>11.49</v>
      </c>
      <c r="F84" s="181">
        <f t="shared" si="1"/>
        <v>45960</v>
      </c>
    </row>
    <row r="85" spans="1:6">
      <c r="A85" s="176" t="s">
        <v>169</v>
      </c>
      <c r="B85" s="138" t="s">
        <v>89</v>
      </c>
      <c r="C85" s="138" t="s">
        <v>9</v>
      </c>
      <c r="D85" s="140">
        <v>6800</v>
      </c>
      <c r="E85" s="180">
        <v>16.7</v>
      </c>
      <c r="F85" s="181">
        <f t="shared" si="1"/>
        <v>113560</v>
      </c>
    </row>
    <row r="86" spans="1:6">
      <c r="A86" s="176" t="s">
        <v>177</v>
      </c>
      <c r="B86" s="138" t="s">
        <v>90</v>
      </c>
      <c r="C86" s="138" t="s">
        <v>9</v>
      </c>
      <c r="D86" s="140">
        <v>500</v>
      </c>
      <c r="E86" s="180">
        <v>19.7</v>
      </c>
      <c r="F86" s="181">
        <f t="shared" si="1"/>
        <v>9850</v>
      </c>
    </row>
    <row r="87" spans="1:6" ht="69" customHeight="1">
      <c r="A87" s="176" t="s">
        <v>247</v>
      </c>
      <c r="B87" s="138" t="s">
        <v>176</v>
      </c>
      <c r="C87" s="138" t="s">
        <v>9</v>
      </c>
      <c r="D87" s="140">
        <f>D74</f>
        <v>150</v>
      </c>
      <c r="E87" s="180">
        <v>1100</v>
      </c>
      <c r="F87" s="181">
        <f t="shared" si="1"/>
        <v>165000</v>
      </c>
    </row>
    <row r="88" spans="1:6">
      <c r="A88" s="182" t="s">
        <v>92</v>
      </c>
      <c r="B88" s="182"/>
      <c r="C88" s="182"/>
      <c r="D88" s="182"/>
      <c r="E88" s="182"/>
      <c r="F88" s="183">
        <f>SUM(F69:F87)</f>
        <v>6213755.5999999996</v>
      </c>
    </row>
    <row r="89" spans="1:6">
      <c r="A89" s="184" t="s">
        <v>94</v>
      </c>
      <c r="B89" s="184"/>
      <c r="C89" s="184"/>
      <c r="D89" s="184"/>
      <c r="E89" s="184"/>
      <c r="F89" s="185">
        <f>F88+F67</f>
        <v>6705595.4499999993</v>
      </c>
    </row>
    <row r="90" spans="1:6" ht="15.75" thickBot="1">
      <c r="A90" s="186"/>
      <c r="B90" s="186"/>
      <c r="C90" s="186"/>
      <c r="D90" s="187"/>
      <c r="E90" s="188"/>
      <c r="F90" s="189"/>
    </row>
    <row r="91" spans="1:6" ht="15.75" thickBot="1">
      <c r="A91" s="190" t="s">
        <v>171</v>
      </c>
      <c r="B91" s="191"/>
      <c r="C91" s="191"/>
      <c r="D91" s="191"/>
      <c r="E91" s="192"/>
      <c r="F91" s="193">
        <f>F7+F89</f>
        <v>9462715.4499999993</v>
      </c>
    </row>
  </sheetData>
  <mergeCells count="10">
    <mergeCell ref="A1:F1"/>
    <mergeCell ref="A91:E91"/>
    <mergeCell ref="B68:F68"/>
    <mergeCell ref="A67:E67"/>
    <mergeCell ref="A88:E88"/>
    <mergeCell ref="B3:F3"/>
    <mergeCell ref="A7:E7"/>
    <mergeCell ref="B8:F8"/>
    <mergeCell ref="B9:F9"/>
    <mergeCell ref="A89:E89"/>
  </mergeCells>
  <phoneticPr fontId="9" type="noConversion"/>
  <printOptions horizontalCentered="1"/>
  <pageMargins left="0.51181102362204722" right="0.51181102362204722" top="0.59055118110236227" bottom="0.59055118110236227" header="0" footer="0"/>
  <pageSetup paperSize="9" scale="80" orientation="portrait" r:id="rId1"/>
</worksheet>
</file>

<file path=xl/worksheets/sheet2.xml><?xml version="1.0" encoding="utf-8"?>
<worksheet xmlns="http://schemas.openxmlformats.org/spreadsheetml/2006/main" xmlns:r="http://schemas.openxmlformats.org/officeDocument/2006/relationships">
  <dimension ref="A2:I32"/>
  <sheetViews>
    <sheetView workbookViewId="0">
      <selection activeCell="C41" sqref="C41"/>
    </sheetView>
  </sheetViews>
  <sheetFormatPr defaultColWidth="9.140625" defaultRowHeight="15"/>
  <cols>
    <col min="1" max="1" width="1.28515625" style="4" customWidth="1"/>
    <col min="2" max="2" width="7.42578125" style="4" bestFit="1" customWidth="1"/>
    <col min="3" max="3" width="50" style="4" bestFit="1" customWidth="1"/>
    <col min="4" max="4" width="22.42578125" style="4" customWidth="1"/>
    <col min="5" max="5" width="1.28515625" style="4" customWidth="1"/>
    <col min="6" max="6" width="10.7109375" style="4" customWidth="1"/>
    <col min="7" max="9" width="13.85546875" style="4" customWidth="1"/>
    <col min="10" max="16384" width="9.140625" style="4"/>
  </cols>
  <sheetData>
    <row r="2" spans="1:9" ht="6.75" customHeight="1" thickBot="1">
      <c r="A2" s="3"/>
      <c r="B2" s="3"/>
      <c r="C2" s="3"/>
      <c r="D2" s="3"/>
      <c r="E2" s="3"/>
      <c r="F2" s="3"/>
      <c r="G2" s="3"/>
      <c r="H2" s="3"/>
      <c r="I2" s="3"/>
    </row>
    <row r="3" spans="1:9" ht="15.75" thickBot="1">
      <c r="A3" s="3"/>
      <c r="B3" s="5" t="s">
        <v>182</v>
      </c>
      <c r="C3" s="73" t="s">
        <v>183</v>
      </c>
      <c r="D3" s="74"/>
      <c r="E3" s="74"/>
      <c r="F3" s="74"/>
      <c r="G3" s="74"/>
      <c r="H3" s="74"/>
      <c r="I3" s="75"/>
    </row>
    <row r="4" spans="1:9" ht="62.25" customHeight="1" thickBot="1">
      <c r="A4" s="3"/>
      <c r="B4" s="5" t="s">
        <v>184</v>
      </c>
      <c r="C4" s="76" t="s">
        <v>185</v>
      </c>
      <c r="D4" s="76"/>
      <c r="E4" s="76"/>
      <c r="F4" s="76"/>
      <c r="G4" s="76"/>
      <c r="H4" s="76"/>
      <c r="I4" s="77"/>
    </row>
    <row r="5" spans="1:9" ht="15.75" thickBot="1">
      <c r="A5" s="3"/>
      <c r="B5" s="73" t="s">
        <v>186</v>
      </c>
      <c r="C5" s="74"/>
      <c r="D5" s="74"/>
      <c r="E5" s="74"/>
      <c r="F5" s="74"/>
      <c r="G5" s="74"/>
      <c r="H5" s="74"/>
      <c r="I5" s="75"/>
    </row>
    <row r="6" spans="1:9">
      <c r="B6" s="78" t="s">
        <v>187</v>
      </c>
      <c r="C6" s="78"/>
      <c r="D6" s="78"/>
      <c r="E6" s="6"/>
      <c r="F6" s="6"/>
      <c r="G6" s="80" t="s">
        <v>188</v>
      </c>
      <c r="H6" s="81"/>
      <c r="I6" s="82"/>
    </row>
    <row r="7" spans="1:9">
      <c r="B7" s="79"/>
      <c r="C7" s="79"/>
      <c r="D7" s="79"/>
      <c r="E7" s="6"/>
      <c r="F7" s="6"/>
      <c r="G7" s="80"/>
      <c r="H7" s="81"/>
      <c r="I7" s="82"/>
    </row>
    <row r="8" spans="1:9" ht="12" customHeight="1">
      <c r="B8" s="2" t="s">
        <v>0</v>
      </c>
      <c r="C8" s="2" t="s">
        <v>189</v>
      </c>
      <c r="D8" s="7" t="s">
        <v>190</v>
      </c>
      <c r="E8" s="8"/>
      <c r="F8" s="8"/>
      <c r="G8" s="83"/>
      <c r="H8" s="84"/>
      <c r="I8" s="85"/>
    </row>
    <row r="9" spans="1:9" ht="12" customHeight="1">
      <c r="B9" s="7" t="s">
        <v>191</v>
      </c>
      <c r="C9" s="9" t="s">
        <v>192</v>
      </c>
      <c r="D9" s="10"/>
      <c r="E9" s="8"/>
      <c r="F9" s="8"/>
      <c r="G9" s="11" t="s">
        <v>193</v>
      </c>
      <c r="H9" s="11" t="s">
        <v>194</v>
      </c>
      <c r="I9" s="11" t="s">
        <v>195</v>
      </c>
    </row>
    <row r="10" spans="1:9" ht="12" customHeight="1">
      <c r="B10" s="12" t="s">
        <v>5</v>
      </c>
      <c r="C10" s="13" t="s">
        <v>196</v>
      </c>
      <c r="D10" s="14">
        <v>5.2900000000000003E-2</v>
      </c>
      <c r="E10" s="8"/>
      <c r="F10" s="8"/>
      <c r="G10" s="15">
        <v>5.2900000000000003E-2</v>
      </c>
      <c r="H10" s="15">
        <v>5.9200000000000003E-2</v>
      </c>
      <c r="I10" s="15">
        <v>7.9299999999999995E-2</v>
      </c>
    </row>
    <row r="11" spans="1:9" ht="12" customHeight="1">
      <c r="B11" s="7" t="s">
        <v>197</v>
      </c>
      <c r="C11" s="9" t="s">
        <v>198</v>
      </c>
      <c r="D11" s="10"/>
      <c r="E11" s="8"/>
      <c r="F11" s="8"/>
      <c r="G11" s="15"/>
      <c r="H11" s="15"/>
      <c r="I11" s="15"/>
    </row>
    <row r="12" spans="1:9" ht="12" customHeight="1">
      <c r="B12" s="12">
        <v>1</v>
      </c>
      <c r="C12" s="13" t="s">
        <v>199</v>
      </c>
      <c r="D12" s="10"/>
      <c r="E12" s="8"/>
      <c r="F12" s="8"/>
      <c r="G12" s="15"/>
      <c r="H12" s="15"/>
      <c r="I12" s="15"/>
    </row>
    <row r="13" spans="1:9" ht="12" customHeight="1">
      <c r="B13" s="12" t="s">
        <v>5</v>
      </c>
      <c r="C13" s="13" t="s">
        <v>200</v>
      </c>
      <c r="D13" s="14">
        <v>0.03</v>
      </c>
      <c r="E13" s="8"/>
      <c r="F13" s="8"/>
      <c r="G13" s="15">
        <v>0.03</v>
      </c>
      <c r="H13" s="15">
        <v>0.03</v>
      </c>
      <c r="I13" s="15">
        <v>0.03</v>
      </c>
    </row>
    <row r="14" spans="1:9" ht="12" customHeight="1">
      <c r="B14" s="12" t="s">
        <v>13</v>
      </c>
      <c r="C14" s="13" t="s">
        <v>201</v>
      </c>
      <c r="D14" s="14">
        <v>6.4999999999999997E-3</v>
      </c>
      <c r="E14" s="8"/>
      <c r="F14" s="8"/>
      <c r="G14" s="15">
        <v>6.4999999999999997E-3</v>
      </c>
      <c r="H14" s="15">
        <v>6.4999999999999997E-3</v>
      </c>
      <c r="I14" s="15">
        <v>6.4999999999999997E-3</v>
      </c>
    </row>
    <row r="15" spans="1:9" ht="12" customHeight="1">
      <c r="B15" s="12" t="s">
        <v>202</v>
      </c>
      <c r="C15" s="13" t="s">
        <v>203</v>
      </c>
      <c r="D15" s="14">
        <v>0</v>
      </c>
      <c r="E15" s="6"/>
      <c r="F15" s="6"/>
      <c r="G15" s="15"/>
      <c r="H15" s="15"/>
      <c r="I15" s="15"/>
    </row>
    <row r="16" spans="1:9" ht="12" customHeight="1">
      <c r="B16" s="12" t="s">
        <v>204</v>
      </c>
      <c r="C16" s="13" t="s">
        <v>205</v>
      </c>
      <c r="D16" s="16">
        <v>0.05</v>
      </c>
      <c r="E16" s="17"/>
      <c r="F16" s="17"/>
      <c r="G16" s="15">
        <v>0.03</v>
      </c>
      <c r="H16" s="15">
        <v>0.03</v>
      </c>
      <c r="I16" s="15">
        <v>0.03</v>
      </c>
    </row>
    <row r="17" spans="2:9" ht="12" customHeight="1">
      <c r="B17" s="12">
        <v>2</v>
      </c>
      <c r="C17" s="13" t="s">
        <v>206</v>
      </c>
      <c r="D17" s="14">
        <v>0.06</v>
      </c>
      <c r="E17" s="8"/>
      <c r="F17" s="8"/>
      <c r="G17" s="15">
        <v>0.08</v>
      </c>
      <c r="H17" s="15">
        <v>8.3099999999999993E-2</v>
      </c>
      <c r="I17" s="15">
        <v>9.5100000000000004E-2</v>
      </c>
    </row>
    <row r="18" spans="2:9" ht="12" customHeight="1">
      <c r="B18" s="12">
        <v>3</v>
      </c>
      <c r="C18" s="13" t="s">
        <v>207</v>
      </c>
      <c r="D18" s="14">
        <v>2.5000000000000001E-3</v>
      </c>
      <c r="E18" s="8"/>
      <c r="F18" s="8"/>
      <c r="G18" s="15">
        <v>2.5000000000000001E-3</v>
      </c>
      <c r="H18" s="15">
        <v>5.1000000000000004E-3</v>
      </c>
      <c r="I18" s="15">
        <v>5.5999999999999999E-3</v>
      </c>
    </row>
    <row r="19" spans="2:9" ht="12" customHeight="1">
      <c r="B19" s="12">
        <v>4</v>
      </c>
      <c r="C19" s="18" t="s">
        <v>208</v>
      </c>
      <c r="D19" s="14">
        <v>0.01</v>
      </c>
      <c r="E19" s="8"/>
      <c r="F19" s="8"/>
      <c r="G19" s="15">
        <v>0.01</v>
      </c>
      <c r="H19" s="15">
        <v>1.4800000000000001E-2</v>
      </c>
      <c r="I19" s="15">
        <v>1.9699999999999999E-2</v>
      </c>
    </row>
    <row r="20" spans="2:9" ht="12" customHeight="1">
      <c r="B20" s="12">
        <v>5</v>
      </c>
      <c r="C20" s="13" t="s">
        <v>209</v>
      </c>
      <c r="D20" s="14">
        <v>1.01E-2</v>
      </c>
      <c r="E20" s="8"/>
      <c r="F20" s="8"/>
      <c r="G20" s="15">
        <v>1.01E-2</v>
      </c>
      <c r="H20" s="15">
        <v>1.0699999999999999E-2</v>
      </c>
      <c r="I20" s="15">
        <v>1.11E-2</v>
      </c>
    </row>
    <row r="21" spans="2:9" ht="12" customHeight="1">
      <c r="B21" s="7" t="s">
        <v>210</v>
      </c>
      <c r="C21" s="7" t="s">
        <v>211</v>
      </c>
      <c r="D21" s="10">
        <f>(((1+D10+D18+D19)*(1+D20)*(1+D17))/(1-(D13+D14+D15+D16)))-1</f>
        <v>0.24874676781609173</v>
      </c>
      <c r="E21" s="8"/>
      <c r="F21" s="8"/>
      <c r="G21" s="19">
        <f>TRUNC((((1+G10+G18+G19)*(1+G20)*(1+G17))/(1-G13-G14-G16))-1,4)</f>
        <v>0.245</v>
      </c>
      <c r="H21" s="19">
        <f>TRUNC((((1+H10+H18+H19)*(1+H20)*(1+H17))/(1-H13-H14-H16))-1,4)</f>
        <v>0.26540000000000002</v>
      </c>
      <c r="I21" s="19">
        <f>TRUNC((((1+I10+I18+I19)*(1+I20)*(1+I17))/(1-I13-I14-I16))-1,4)</f>
        <v>0.31019999999999998</v>
      </c>
    </row>
    <row r="22" spans="2:9">
      <c r="B22" s="8"/>
      <c r="C22" s="8"/>
      <c r="D22" s="8"/>
      <c r="E22" s="8"/>
      <c r="F22" s="8"/>
      <c r="G22" s="8"/>
      <c r="H22" s="8"/>
      <c r="I22" s="8"/>
    </row>
    <row r="23" spans="2:9">
      <c r="B23" s="86" t="s">
        <v>212</v>
      </c>
      <c r="C23" s="86"/>
      <c r="D23" s="86"/>
      <c r="E23" s="8"/>
      <c r="F23" s="8"/>
      <c r="G23" s="20">
        <v>0.24</v>
      </c>
      <c r="H23" s="20">
        <v>0.25840000000000002</v>
      </c>
      <c r="I23" s="20">
        <v>0.27860000000000001</v>
      </c>
    </row>
    <row r="24" spans="2:9">
      <c r="B24" s="67"/>
      <c r="C24" s="67"/>
      <c r="D24" s="67"/>
      <c r="E24" s="8"/>
      <c r="F24" s="8"/>
      <c r="G24" s="68" t="s">
        <v>213</v>
      </c>
      <c r="H24" s="68"/>
      <c r="I24" s="68"/>
    </row>
    <row r="25" spans="2:9" ht="42" customHeight="1">
      <c r="B25" s="69" t="s">
        <v>214</v>
      </c>
      <c r="C25" s="70"/>
      <c r="D25" s="71"/>
      <c r="E25" s="8"/>
      <c r="F25" s="8"/>
      <c r="G25" s="72" t="s">
        <v>215</v>
      </c>
      <c r="H25" s="72"/>
      <c r="I25" s="72"/>
    </row>
    <row r="26" spans="2:9">
      <c r="B26" s="21"/>
      <c r="C26" s="21"/>
      <c r="D26" s="21"/>
      <c r="E26" s="21"/>
      <c r="F26" s="21"/>
      <c r="G26" s="21"/>
      <c r="H26" s="21"/>
      <c r="I26" s="21"/>
    </row>
    <row r="27" spans="2:9">
      <c r="B27" s="21"/>
      <c r="C27" s="21"/>
      <c r="D27" s="21"/>
      <c r="E27" s="21"/>
      <c r="F27" s="21"/>
      <c r="G27" s="21"/>
      <c r="H27" s="21"/>
      <c r="I27" s="21"/>
    </row>
    <row r="28" spans="2:9">
      <c r="B28" s="21"/>
      <c r="C28" s="21"/>
      <c r="D28" s="21"/>
      <c r="E28" s="21"/>
      <c r="F28" s="21"/>
      <c r="G28" s="21"/>
      <c r="H28" s="21"/>
      <c r="I28" s="21"/>
    </row>
    <row r="29" spans="2:9" ht="12.95" customHeight="1">
      <c r="B29" s="21"/>
      <c r="C29" s="22"/>
      <c r="D29" s="21"/>
      <c r="E29" s="21"/>
      <c r="F29" s="21"/>
      <c r="G29" s="21"/>
      <c r="H29" s="21"/>
      <c r="I29" s="21"/>
    </row>
    <row r="30" spans="2:9" ht="9" customHeight="1">
      <c r="C30" s="22"/>
    </row>
    <row r="31" spans="2:9" ht="11.45" customHeight="1">
      <c r="C31" s="22"/>
    </row>
    <row r="32" spans="2:9" ht="15.75">
      <c r="C32" s="1"/>
    </row>
  </sheetData>
  <mergeCells count="10">
    <mergeCell ref="B24:D24"/>
    <mergeCell ref="G24:I24"/>
    <mergeCell ref="B25:D25"/>
    <mergeCell ref="G25:I25"/>
    <mergeCell ref="C3:I3"/>
    <mergeCell ref="C4:I4"/>
    <mergeCell ref="B5:I5"/>
    <mergeCell ref="B6:D7"/>
    <mergeCell ref="G6:I8"/>
    <mergeCell ref="B23:D23"/>
  </mergeCells>
  <pageMargins left="0.511811024" right="0.511811024" top="0.78740157499999996" bottom="0.78740157499999996" header="0.31496062000000002" footer="0.31496062000000002"/>
  <drawing r:id="rId1"/>
</worksheet>
</file>

<file path=xl/worksheets/sheet3.xml><?xml version="1.0" encoding="utf-8"?>
<worksheet xmlns="http://schemas.openxmlformats.org/spreadsheetml/2006/main" xmlns:r="http://schemas.openxmlformats.org/officeDocument/2006/relationships">
  <dimension ref="A3:AC24"/>
  <sheetViews>
    <sheetView topLeftCell="A16" workbookViewId="0">
      <selection activeCell="R9" sqref="R9"/>
    </sheetView>
  </sheetViews>
  <sheetFormatPr defaultColWidth="9.140625" defaultRowHeight="15"/>
  <cols>
    <col min="1" max="1" width="5.7109375" bestFit="1" customWidth="1"/>
    <col min="2" max="2" width="25.140625" style="1" customWidth="1"/>
    <col min="3" max="3" width="10" customWidth="1"/>
    <col min="4" max="4" width="7.42578125" bestFit="1" customWidth="1"/>
    <col min="5" max="6" width="7.140625" bestFit="1" customWidth="1"/>
    <col min="7" max="12" width="7.42578125" bestFit="1" customWidth="1"/>
    <col min="13" max="14" width="8.28515625" bestFit="1" customWidth="1"/>
    <col min="15" max="16" width="7.42578125" bestFit="1" customWidth="1"/>
  </cols>
  <sheetData>
    <row r="3" spans="1:29" ht="15.75" thickBot="1">
      <c r="A3" s="23"/>
      <c r="B3" s="24"/>
      <c r="C3" s="25"/>
      <c r="D3" s="26"/>
      <c r="E3" s="26"/>
      <c r="F3" s="26"/>
      <c r="G3" s="26"/>
      <c r="H3" s="26"/>
      <c r="I3" s="26"/>
      <c r="J3" s="27"/>
      <c r="K3" s="28"/>
      <c r="L3" s="29"/>
      <c r="M3" s="30"/>
      <c r="N3" s="30"/>
      <c r="O3" s="30"/>
      <c r="P3" s="30"/>
      <c r="Q3" s="30"/>
      <c r="R3" s="30"/>
      <c r="S3" s="30"/>
      <c r="T3" s="30"/>
      <c r="U3" s="30"/>
      <c r="V3" s="30"/>
      <c r="W3" s="30"/>
      <c r="X3" s="30"/>
      <c r="Y3" s="30"/>
      <c r="Z3" s="30"/>
      <c r="AA3" s="30"/>
      <c r="AB3" s="30"/>
      <c r="AC3" s="30"/>
    </row>
    <row r="4" spans="1:29" ht="21.75" thickBot="1">
      <c r="A4" s="93" t="s">
        <v>216</v>
      </c>
      <c r="B4" s="94"/>
      <c r="C4" s="94"/>
      <c r="D4" s="94"/>
      <c r="E4" s="94"/>
      <c r="F4" s="94"/>
      <c r="G4" s="94"/>
      <c r="H4" s="94"/>
      <c r="I4" s="94"/>
      <c r="J4" s="94"/>
      <c r="K4" s="94"/>
      <c r="L4" s="94"/>
      <c r="M4" s="94"/>
      <c r="N4" s="94"/>
      <c r="O4" s="94"/>
      <c r="P4" s="95"/>
      <c r="Q4" s="31"/>
      <c r="R4" s="31"/>
      <c r="S4" s="31"/>
      <c r="T4" s="31"/>
      <c r="U4" s="31"/>
      <c r="V4" s="31"/>
      <c r="W4" s="31"/>
      <c r="X4" s="31"/>
      <c r="Y4" s="31"/>
      <c r="Z4" s="31"/>
      <c r="AA4" s="31"/>
      <c r="AB4" s="31"/>
      <c r="AC4" s="31"/>
    </row>
    <row r="5" spans="1:29" ht="14.45" customHeight="1">
      <c r="A5" s="96" t="s">
        <v>217</v>
      </c>
      <c r="B5" s="99" t="s">
        <v>185</v>
      </c>
      <c r="C5" s="99"/>
      <c r="D5" s="99"/>
      <c r="E5" s="99"/>
      <c r="F5" s="99"/>
      <c r="G5" s="99"/>
      <c r="H5" s="99"/>
      <c r="I5" s="99"/>
      <c r="J5" s="99"/>
      <c r="K5" s="99"/>
      <c r="L5" s="99"/>
      <c r="M5" s="99"/>
      <c r="N5" s="99"/>
      <c r="O5" s="99"/>
      <c r="P5" s="100"/>
      <c r="Q5" s="31"/>
      <c r="R5" s="31"/>
      <c r="S5" s="31"/>
      <c r="T5" s="31"/>
      <c r="U5" s="31"/>
      <c r="V5" s="31"/>
      <c r="W5" s="31"/>
      <c r="X5" s="31"/>
      <c r="Y5" s="31"/>
      <c r="Z5" s="31"/>
      <c r="AA5" s="31"/>
      <c r="AB5" s="31"/>
      <c r="AC5" s="31"/>
    </row>
    <row r="6" spans="1:29">
      <c r="A6" s="97"/>
      <c r="B6" s="101"/>
      <c r="C6" s="101"/>
      <c r="D6" s="101"/>
      <c r="E6" s="101"/>
      <c r="F6" s="101"/>
      <c r="G6" s="101"/>
      <c r="H6" s="101"/>
      <c r="I6" s="101"/>
      <c r="J6" s="101"/>
      <c r="K6" s="101"/>
      <c r="L6" s="101"/>
      <c r="M6" s="101"/>
      <c r="N6" s="101"/>
      <c r="O6" s="101"/>
      <c r="P6" s="102"/>
      <c r="Q6" s="32"/>
      <c r="R6" s="32"/>
      <c r="S6" s="32"/>
      <c r="T6" s="32"/>
      <c r="U6" s="32"/>
      <c r="V6" s="32"/>
      <c r="W6" s="32"/>
      <c r="X6" s="32"/>
      <c r="Y6" s="32"/>
      <c r="Z6" s="32"/>
      <c r="AA6" s="32"/>
      <c r="AB6" s="32"/>
      <c r="AC6" s="32"/>
    </row>
    <row r="7" spans="1:29" ht="15.75" thickBot="1">
      <c r="A7" s="98"/>
      <c r="B7" s="103"/>
      <c r="C7" s="103"/>
      <c r="D7" s="103"/>
      <c r="E7" s="103"/>
      <c r="F7" s="103"/>
      <c r="G7" s="103"/>
      <c r="H7" s="103"/>
      <c r="I7" s="103"/>
      <c r="J7" s="103"/>
      <c r="K7" s="103"/>
      <c r="L7" s="103"/>
      <c r="M7" s="103"/>
      <c r="N7" s="103"/>
      <c r="O7" s="103"/>
      <c r="P7" s="104"/>
      <c r="Q7" s="32"/>
      <c r="R7" s="32"/>
      <c r="S7" s="32"/>
      <c r="T7" s="32"/>
      <c r="U7" s="32"/>
      <c r="V7" s="32"/>
      <c r="W7" s="32"/>
      <c r="X7" s="32"/>
      <c r="Y7" s="32"/>
      <c r="Z7" s="32"/>
      <c r="AA7" s="32"/>
    </row>
    <row r="8" spans="1:29" ht="29.45" customHeight="1">
      <c r="A8" s="105" t="s">
        <v>0</v>
      </c>
      <c r="B8" s="107" t="s">
        <v>218</v>
      </c>
      <c r="C8" s="109" t="s">
        <v>219</v>
      </c>
      <c r="D8" s="111" t="s">
        <v>220</v>
      </c>
      <c r="E8" s="113" t="s">
        <v>221</v>
      </c>
      <c r="F8" s="114"/>
      <c r="G8" s="114"/>
      <c r="H8" s="114"/>
      <c r="I8" s="114"/>
      <c r="J8" s="114"/>
      <c r="K8" s="114"/>
      <c r="L8" s="114"/>
      <c r="M8" s="114"/>
      <c r="N8" s="114"/>
      <c r="O8" s="114"/>
      <c r="P8" s="115"/>
      <c r="Q8" s="32"/>
      <c r="R8" s="32"/>
      <c r="S8" s="32"/>
      <c r="T8" s="32"/>
      <c r="U8" s="32"/>
      <c r="V8" s="32"/>
      <c r="W8" s="32"/>
      <c r="X8" s="32"/>
      <c r="Y8" s="32"/>
      <c r="Z8" s="32"/>
      <c r="AA8" s="32"/>
      <c r="AB8" s="32"/>
      <c r="AC8" s="32"/>
    </row>
    <row r="9" spans="1:29" ht="15.75" thickBot="1">
      <c r="A9" s="106"/>
      <c r="B9" s="108"/>
      <c r="C9" s="110"/>
      <c r="D9" s="112"/>
      <c r="E9" s="33" t="s">
        <v>222</v>
      </c>
      <c r="F9" s="33" t="s">
        <v>223</v>
      </c>
      <c r="G9" s="33" t="s">
        <v>224</v>
      </c>
      <c r="H9" s="33" t="s">
        <v>225</v>
      </c>
      <c r="I9" s="33" t="s">
        <v>226</v>
      </c>
      <c r="J9" s="33" t="s">
        <v>227</v>
      </c>
      <c r="K9" s="33" t="s">
        <v>228</v>
      </c>
      <c r="L9" s="33" t="s">
        <v>229</v>
      </c>
      <c r="M9" s="33" t="s">
        <v>230</v>
      </c>
      <c r="N9" s="33" t="s">
        <v>231</v>
      </c>
      <c r="O9" s="33" t="s">
        <v>232</v>
      </c>
      <c r="P9" s="34" t="s">
        <v>233</v>
      </c>
      <c r="Q9" s="32"/>
      <c r="R9" s="32"/>
      <c r="S9" s="32"/>
      <c r="T9" s="32"/>
      <c r="U9" s="32"/>
      <c r="V9" s="32"/>
      <c r="W9" s="32"/>
      <c r="X9" s="32"/>
      <c r="Y9" s="32"/>
      <c r="Z9" s="32"/>
      <c r="AA9" s="32"/>
      <c r="AB9" s="32"/>
      <c r="AC9" s="32"/>
    </row>
    <row r="10" spans="1:29" ht="18">
      <c r="A10" s="87" t="s">
        <v>234</v>
      </c>
      <c r="B10" s="35" t="s">
        <v>235</v>
      </c>
      <c r="C10" s="36">
        <f>'planina de preços'!F4</f>
        <v>2188320</v>
      </c>
      <c r="D10" s="37">
        <f>C10/'planina de preços'!F91</f>
        <v>0.23125708593509489</v>
      </c>
      <c r="E10" s="38">
        <f>C10/12</f>
        <v>182360</v>
      </c>
      <c r="F10" s="38">
        <f>C10/12</f>
        <v>182360</v>
      </c>
      <c r="G10" s="38">
        <f>C10/12</f>
        <v>182360</v>
      </c>
      <c r="H10" s="38">
        <f>C10/12</f>
        <v>182360</v>
      </c>
      <c r="I10" s="38">
        <f>C10/12</f>
        <v>182360</v>
      </c>
      <c r="J10" s="38">
        <f>C10/12</f>
        <v>182360</v>
      </c>
      <c r="K10" s="38">
        <f>C10/12</f>
        <v>182360</v>
      </c>
      <c r="L10" s="38">
        <f>C10/12</f>
        <v>182360</v>
      </c>
      <c r="M10" s="38">
        <f>C10/12</f>
        <v>182360</v>
      </c>
      <c r="N10" s="38">
        <f>C10/12</f>
        <v>182360</v>
      </c>
      <c r="O10" s="38">
        <f>C10/12</f>
        <v>182360</v>
      </c>
      <c r="P10" s="39">
        <f>C10/12</f>
        <v>182360</v>
      </c>
      <c r="Q10" s="40"/>
      <c r="R10" s="40"/>
      <c r="S10" s="40"/>
      <c r="T10" s="40"/>
      <c r="U10" s="40"/>
      <c r="V10" s="40"/>
      <c r="W10" s="40"/>
      <c r="X10" s="40"/>
      <c r="Y10" s="40"/>
      <c r="Z10" s="40"/>
      <c r="AA10" s="40"/>
    </row>
    <row r="11" spans="1:29" ht="18">
      <c r="A11" s="88"/>
      <c r="B11" s="41" t="s">
        <v>236</v>
      </c>
      <c r="C11" s="42">
        <f>'planina de preços'!F5</f>
        <v>523800</v>
      </c>
      <c r="D11" s="43">
        <f>C11/'planina de preços'!F91</f>
        <v>5.5354089718506756E-2</v>
      </c>
      <c r="E11" s="44">
        <f>C11/4</f>
        <v>130950</v>
      </c>
      <c r="F11" s="44">
        <f>C11/4</f>
        <v>130950</v>
      </c>
      <c r="G11" s="44">
        <f>C11/4</f>
        <v>130950</v>
      </c>
      <c r="H11" s="44">
        <f>C11/4</f>
        <v>130950</v>
      </c>
      <c r="I11" s="44"/>
      <c r="J11" s="44"/>
      <c r="K11" s="44"/>
      <c r="L11" s="44"/>
      <c r="M11" s="44"/>
      <c r="N11" s="44"/>
      <c r="O11" s="44"/>
      <c r="P11" s="45"/>
      <c r="Q11" s="40"/>
      <c r="R11" s="40"/>
      <c r="S11" s="40"/>
      <c r="T11" s="40"/>
      <c r="U11" s="40"/>
      <c r="V11" s="40"/>
      <c r="W11" s="40"/>
      <c r="X11" s="40"/>
    </row>
    <row r="12" spans="1:29" ht="27">
      <c r="A12" s="88"/>
      <c r="B12" s="41" t="s">
        <v>237</v>
      </c>
      <c r="C12" s="42">
        <f>'planina de preços'!F6</f>
        <v>45000</v>
      </c>
      <c r="D12" s="43">
        <f>C12/'[1]planilha orçamentária'!F79</f>
        <v>2.2502101696298436E-2</v>
      </c>
      <c r="E12" s="46">
        <f>C12/12</f>
        <v>3750</v>
      </c>
      <c r="F12" s="46">
        <f>E12</f>
        <v>3750</v>
      </c>
      <c r="G12" s="46">
        <f>F12</f>
        <v>3750</v>
      </c>
      <c r="H12" s="46">
        <f>G12</f>
        <v>3750</v>
      </c>
      <c r="I12" s="46">
        <f>E12</f>
        <v>3750</v>
      </c>
      <c r="J12" s="46">
        <f>E12</f>
        <v>3750</v>
      </c>
      <c r="K12" s="46">
        <f>G12</f>
        <v>3750</v>
      </c>
      <c r="L12" s="46">
        <f>G12</f>
        <v>3750</v>
      </c>
      <c r="M12" s="46">
        <f>I12</f>
        <v>3750</v>
      </c>
      <c r="N12" s="46">
        <f>I12</f>
        <v>3750</v>
      </c>
      <c r="O12" s="46">
        <f>J12</f>
        <v>3750</v>
      </c>
      <c r="P12" s="47">
        <f>L12</f>
        <v>3750</v>
      </c>
      <c r="Q12" s="48"/>
      <c r="R12" s="48"/>
      <c r="S12" s="48"/>
      <c r="T12" s="48"/>
      <c r="U12" s="48"/>
      <c r="V12" s="48"/>
      <c r="W12" s="49"/>
      <c r="X12" s="48"/>
    </row>
    <row r="13" spans="1:29">
      <c r="A13" s="88" t="s">
        <v>238</v>
      </c>
      <c r="B13" s="50" t="s">
        <v>239</v>
      </c>
      <c r="C13" s="42">
        <f>'planina de preços'!F67</f>
        <v>491839.85</v>
      </c>
      <c r="D13" s="43">
        <f>C13/'planina de preços'!F91</f>
        <v>5.1976607835122E-2</v>
      </c>
      <c r="E13" s="51"/>
      <c r="F13" s="51"/>
      <c r="G13" s="51"/>
      <c r="H13" s="51"/>
      <c r="I13" s="51"/>
      <c r="J13" s="51"/>
      <c r="K13" s="51"/>
      <c r="L13" s="51"/>
      <c r="M13" s="51">
        <f>C13/2</f>
        <v>245919.92499999999</v>
      </c>
      <c r="N13" s="51">
        <f>C13/2</f>
        <v>245919.92499999999</v>
      </c>
      <c r="O13" s="51"/>
      <c r="P13" s="52"/>
      <c r="Q13" s="48"/>
      <c r="R13" s="48"/>
      <c r="S13" s="48"/>
      <c r="T13" s="48"/>
      <c r="U13" s="48"/>
      <c r="V13" s="48"/>
      <c r="W13" s="53"/>
      <c r="X13" s="48"/>
    </row>
    <row r="14" spans="1:29" ht="18">
      <c r="A14" s="88"/>
      <c r="B14" s="50" t="s">
        <v>240</v>
      </c>
      <c r="C14" s="42">
        <f>'planina de preços'!F88-'planina de preços'!F75-'planina de preços'!F76</f>
        <v>5942755.5999999996</v>
      </c>
      <c r="D14" s="43">
        <f>C14/'planina de preços'!F91</f>
        <v>0.62801799667346014</v>
      </c>
      <c r="E14" s="51"/>
      <c r="F14" s="51"/>
      <c r="G14" s="51">
        <f>C14/10</f>
        <v>594275.55999999994</v>
      </c>
      <c r="H14" s="51">
        <f>C14/10</f>
        <v>594275.55999999994</v>
      </c>
      <c r="I14" s="51">
        <f>C14/10</f>
        <v>594275.55999999994</v>
      </c>
      <c r="J14" s="51">
        <f>C14/10</f>
        <v>594275.55999999994</v>
      </c>
      <c r="K14" s="51">
        <f>C14/10</f>
        <v>594275.55999999994</v>
      </c>
      <c r="L14" s="51">
        <f>C14/10</f>
        <v>594275.55999999994</v>
      </c>
      <c r="M14" s="51">
        <f>C14/10</f>
        <v>594275.55999999994</v>
      </c>
      <c r="N14" s="51">
        <f>C14/10</f>
        <v>594275.55999999994</v>
      </c>
      <c r="O14" s="51">
        <f>C14/10</f>
        <v>594275.55999999994</v>
      </c>
      <c r="P14" s="51">
        <f>C14/10</f>
        <v>594275.55999999994</v>
      </c>
      <c r="Q14" s="48"/>
      <c r="R14" s="48"/>
      <c r="S14" s="48"/>
      <c r="T14" s="48"/>
      <c r="U14" s="48"/>
      <c r="V14" s="48"/>
      <c r="W14" s="54"/>
      <c r="X14" s="48"/>
    </row>
    <row r="15" spans="1:29">
      <c r="A15" s="88"/>
      <c r="B15" s="41" t="s">
        <v>241</v>
      </c>
      <c r="C15" s="55">
        <f>'planina de preços'!F75+'planina de preços'!F76</f>
        <v>271000</v>
      </c>
      <c r="D15" s="43">
        <f>C15/'planina de preços'!F91</f>
        <v>2.8638713848253783E-2</v>
      </c>
      <c r="E15" s="51"/>
      <c r="F15" s="51"/>
      <c r="G15" s="51">
        <f>C15/2</f>
        <v>135500</v>
      </c>
      <c r="H15" s="51">
        <f>C15/2</f>
        <v>135500</v>
      </c>
      <c r="I15" s="51"/>
      <c r="J15" s="51"/>
      <c r="K15" s="51"/>
      <c r="L15" s="51"/>
      <c r="M15" s="51"/>
      <c r="N15" s="51"/>
      <c r="O15" s="51"/>
      <c r="P15" s="52"/>
      <c r="Q15" s="66"/>
      <c r="R15" s="48"/>
      <c r="S15" s="48"/>
      <c r="T15" s="48"/>
      <c r="U15" s="48"/>
      <c r="V15" s="48"/>
      <c r="W15" s="54"/>
      <c r="X15" s="48"/>
    </row>
    <row r="16" spans="1:29">
      <c r="A16" s="89" t="s">
        <v>242</v>
      </c>
      <c r="B16" s="90"/>
      <c r="C16" s="90"/>
      <c r="D16" s="90"/>
      <c r="E16" s="51">
        <f>E10+E11+E12</f>
        <v>317060</v>
      </c>
      <c r="F16" s="51">
        <f>SUM(F10:F15)</f>
        <v>317060</v>
      </c>
      <c r="G16" s="51">
        <f>G10+G11+G12+G14+G15</f>
        <v>1046835.5599999999</v>
      </c>
      <c r="H16" s="51">
        <f>H10+H11+H12+H14+H15</f>
        <v>1046835.5599999999</v>
      </c>
      <c r="I16" s="51">
        <f>I10+I12+I14</f>
        <v>780385.55999999994</v>
      </c>
      <c r="J16" s="51">
        <f>J10+J12+J14</f>
        <v>780385.55999999994</v>
      </c>
      <c r="K16" s="51">
        <f>K10+K12+K14</f>
        <v>780385.55999999994</v>
      </c>
      <c r="L16" s="51">
        <f>L10+L12+L14</f>
        <v>780385.55999999994</v>
      </c>
      <c r="M16" s="51">
        <f>M10+M12+M13+M14</f>
        <v>1026305.4849999999</v>
      </c>
      <c r="N16" s="51">
        <f>N10+N12+N13+N14</f>
        <v>1026305.4849999999</v>
      </c>
      <c r="O16" s="51">
        <f>O10+O12+O14</f>
        <v>780385.55999999994</v>
      </c>
      <c r="P16" s="52">
        <f>P10+P12+P14</f>
        <v>780385.55999999994</v>
      </c>
      <c r="Q16" s="48"/>
      <c r="R16" s="48"/>
      <c r="S16" s="48"/>
      <c r="T16" s="48"/>
      <c r="U16" s="48"/>
      <c r="V16" s="48"/>
      <c r="W16" s="54"/>
      <c r="X16" s="48"/>
    </row>
    <row r="17" spans="1:29" ht="15.75" thickBot="1">
      <c r="A17" s="91" t="s">
        <v>243</v>
      </c>
      <c r="B17" s="92"/>
      <c r="C17" s="92"/>
      <c r="D17" s="92"/>
      <c r="E17" s="56">
        <f>E16</f>
        <v>317060</v>
      </c>
      <c r="F17" s="56">
        <f>E17+F16</f>
        <v>634120</v>
      </c>
      <c r="G17" s="56">
        <f t="shared" ref="G17:P17" si="0">F17+G16</f>
        <v>1680955.56</v>
      </c>
      <c r="H17" s="56">
        <f t="shared" si="0"/>
        <v>2727791.12</v>
      </c>
      <c r="I17" s="56">
        <f t="shared" si="0"/>
        <v>3508176.68</v>
      </c>
      <c r="J17" s="56">
        <f t="shared" si="0"/>
        <v>4288562.24</v>
      </c>
      <c r="K17" s="56">
        <f t="shared" si="0"/>
        <v>5068947.8</v>
      </c>
      <c r="L17" s="56">
        <f t="shared" si="0"/>
        <v>5849333.3599999994</v>
      </c>
      <c r="M17" s="56">
        <f t="shared" si="0"/>
        <v>6875638.8449999988</v>
      </c>
      <c r="N17" s="56">
        <f t="shared" si="0"/>
        <v>7901944.3299999982</v>
      </c>
      <c r="O17" s="56">
        <f t="shared" si="0"/>
        <v>8682329.8899999987</v>
      </c>
      <c r="P17" s="57">
        <f t="shared" si="0"/>
        <v>9462715.4499999993</v>
      </c>
      <c r="Q17" s="58"/>
      <c r="R17" s="58"/>
      <c r="S17" s="58"/>
      <c r="T17" s="58"/>
      <c r="U17" s="58"/>
      <c r="V17" s="58"/>
      <c r="W17" s="53"/>
      <c r="X17" s="58"/>
    </row>
    <row r="18" spans="1:29">
      <c r="B18" s="59"/>
      <c r="C18" s="60"/>
      <c r="I18" s="61"/>
      <c r="AC18" s="62"/>
    </row>
    <row r="19" spans="1:29">
      <c r="D19" s="65"/>
    </row>
    <row r="22" spans="1:29">
      <c r="B22" s="63"/>
      <c r="C22" s="64"/>
      <c r="D22" s="64"/>
    </row>
    <row r="23" spans="1:29">
      <c r="B23" s="63"/>
      <c r="C23" s="64"/>
      <c r="D23" s="64"/>
    </row>
    <row r="24" spans="1:29">
      <c r="B24" s="63"/>
      <c r="C24" s="64"/>
      <c r="D24" s="64"/>
    </row>
  </sheetData>
  <mergeCells count="12">
    <mergeCell ref="A10:A12"/>
    <mergeCell ref="A13:A15"/>
    <mergeCell ref="A16:D16"/>
    <mergeCell ref="A17:D17"/>
    <mergeCell ref="A4:P4"/>
    <mergeCell ref="A5:A7"/>
    <mergeCell ref="B5:P7"/>
    <mergeCell ref="A8:A9"/>
    <mergeCell ref="B8:B9"/>
    <mergeCell ref="C8:C9"/>
    <mergeCell ref="D8:D9"/>
    <mergeCell ref="E8:P8"/>
  </mergeCells>
  <pageMargins left="0.511811024" right="0.511811024" top="0.78740157499999996" bottom="0.78740157499999996" header="0.31496062000000002" footer="0.31496062000000002"/>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511811024" right="0.511811024" top="0.78740157499999996" bottom="0.78740157499999996" header="0.31496062000000002" footer="0.31496062000000002"/>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5</vt:i4>
      </vt:variant>
    </vt:vector>
  </HeadingPairs>
  <TitlesOfParts>
    <vt:vector size="5" baseType="lpstr">
      <vt:lpstr>planina de preços</vt:lpstr>
      <vt:lpstr>BDI</vt:lpstr>
      <vt:lpstr>cronograma</vt:lpstr>
      <vt:lpstr>Plan2</vt:lpstr>
      <vt:lpstr>Plan3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andrea.cardozo</dc:creator>
  <cp:lastModifiedBy>lucas.pavelski</cp:lastModifiedBy>
  <cp:lastPrinted>2021-08-04T17:50:49Z</cp:lastPrinted>
  <dcterms:created xsi:type="dcterms:W3CDTF">2019-10-30T13:19:29Z</dcterms:created>
  <dcterms:modified xsi:type="dcterms:W3CDTF">2021-11-19T19:55:49Z</dcterms:modified>
</cp:coreProperties>
</file>